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esentação" sheetId="1" r:id="rId4"/>
    <sheet state="visible" name="Instruções" sheetId="2" r:id="rId5"/>
    <sheet state="visible" name="Menu Navegação" sheetId="3" r:id="rId6"/>
    <sheet state="visible" name="Dados gerais" sheetId="4" r:id="rId7"/>
    <sheet state="visible" name="Parâmetros econômicos-mercado" sheetId="5" r:id="rId8"/>
    <sheet state="visible" name="Parâmetros Recria" sheetId="6" r:id="rId9"/>
    <sheet state="visible" name="Parâmetros Engorda" sheetId="7" r:id="rId10"/>
    <sheet state="visible" name="Parâmetros Terminação" sheetId="8" r:id="rId11"/>
    <sheet state="visible" name="Parâmetros Monofásico" sheetId="9" r:id="rId12"/>
    <sheet state="visible" name="Custos para implantação" sheetId="10" r:id="rId13"/>
    <sheet state="visible" name="Inventário" sheetId="11" r:id="rId14"/>
    <sheet state="visible" name="Custos variáveis" sheetId="12" r:id="rId15"/>
    <sheet state="visible" name="Custos fixos" sheetId="13" r:id="rId16"/>
    <sheet state="visible" name="Receitas" sheetId="14" r:id="rId17"/>
    <sheet state="visible" name="Indicadores" sheetId="15" r:id="rId18"/>
    <sheet state="visible" name="Gráficos de custos" sheetId="16" r:id="rId19"/>
    <sheet state="visible" name="Retorno do investimento" sheetId="17" r:id="rId20"/>
    <sheet state="visible" name="Relatório da produção" sheetId="18" r:id="rId21"/>
  </sheets>
  <definedNames>
    <definedName localSheetId="3" name="A">'Menu Navegação'!$O$23</definedName>
    <definedName name="Planilha_20Custos.xlsx__Dados_gerais__A1">'Menu Navegação'!$O$23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8">
      <text>
        <t xml:space="preserve">Nesta célula você deve inserir Sim (quando a área da piscicultura é arrendada) ou Não (quando a área da piscicultura não é arrendada).</t>
      </text>
    </comment>
    <comment authorId="0" ref="C9">
      <text>
        <t xml:space="preserve">Nesta célula você deve inserir Monofásico (quando o cultivo é feito em uma única fase) ou Recria, engorda e terminação (quando o cultivo é feito em mais de uma fase)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Período de retorno do capital investido, adotando que haverá 10 ciclos iguais à margem líquida obtida no ciclo 1.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">
      <text>
        <t xml:space="preserve">Nesta célula você deve inserir à porcentagem (%) ao ano de juros sobre o valor da terra que você deseja comparar com a piscicultura.</t>
      </text>
    </comment>
    <comment authorId="0" ref="E7">
      <text>
        <t xml:space="preserve">Nesta célula você deve inserir à porcentagem (%) ao ano de juros sobre o valor do capital físico que você deseja comparar com a piscicultura.</t>
      </text>
    </comment>
    <comment authorId="0" ref="B10">
      <text>
        <t xml:space="preserve">Nesta coluna você pode inserir o produto/sub-produto da pisciculuta que será vendido no ciclo. Nesta coluna você também pode alterar os itens "Outras receitas" de acordo com suas vendas.</t>
      </text>
    </comment>
    <comment authorId="0" ref="C10">
      <text>
        <t xml:space="preserve">Nesta coluna você pode inserir a unidade de venda do produto/sub-produto.</t>
      </text>
    </comment>
    <comment authorId="0" ref="D10">
      <text>
        <t xml:space="preserve">Nesta coluna você pode inserir uma breve discriminação do produto/sub-produto.</t>
      </text>
    </comment>
    <comment authorId="0" ref="E10">
      <text>
        <t xml:space="preserve">Nesta coluna você deve inserir o preço de venda (R$/unidade) do produto/sub-produto.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Esta planilha é para entrada de dados, caso você irá implementar  um piscicultura.</t>
      </text>
    </comment>
    <comment authorId="0" ref="B49">
      <text>
        <t xml:space="preserve">Licença de outorga, é fornecida junto ao Instituo das Águas do Paraná.</t>
      </text>
    </comment>
    <comment authorId="0" ref="B54">
      <text>
        <t xml:space="preserve">Este item é para o custo com elaboração do projeto, ou seja, o valor pago ao Engenheiro Civil pela elaboração do projeto.</t>
      </text>
    </comment>
    <comment authorId="0" ref="C54">
      <text>
        <t xml:space="preserve">Neste célula você pode inserir a unidade de pagamento para o Engenheiro, por exemplo: % do valor final do projeto, Horas trabalhadas, etc.</t>
      </text>
    </comment>
    <comment authorId="0" ref="E56">
      <text>
        <t xml:space="preserve">Este é o valor final do investimento para implantação da piscicultura.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Levantamento de todos os bens da propriedade que são utilizados para a piscicultura.</t>
      </text>
    </comment>
    <comment authorId="0" ref="F5">
      <text>
        <t xml:space="preserve">Nesta coluna são calculados os subtotais e valor total da terra nua destinada a piscicultura.</t>
      </text>
    </comment>
    <comment authorId="0" ref="B6">
      <text>
        <t xml:space="preserve">Este item deve ser preenchido apenas, se a área da piscicultura é arrendada. Caso seja essa a situação, você deve preencher o valor pago por mês por um único hectare.</t>
      </text>
    </comment>
    <comment authorId="0" ref="B7">
      <text>
        <t xml:space="preserve">Este item você deve preeencher apenas a coluna do preço unitário, ou seja, o valor de um hectare de terra nua, pois à área da piscicultura é preenchida automaticamente de acordo com os valores preenchidos no tipo de cultivo.</t>
      </text>
    </comment>
    <comment authorId="0" ref="B8">
      <text>
        <t xml:space="preserve">Este item você deve preencher de acordo com área da preservação e reserva da sua propriedade.</t>
      </text>
    </comment>
    <comment authorId="0" ref="D11">
      <text>
        <t xml:space="preserve">Nesta coluna você deve inserir, apenas a quantidade dos itens que são utilizados na piscicultura.</t>
      </text>
    </comment>
    <comment authorId="0" ref="E11">
      <text>
        <t xml:space="preserve">Neste coluna você inserir os valores unitários de cada item que é utilzado na piscicultura.</t>
      </text>
    </comment>
    <comment authorId="0" ref="F11">
      <text>
        <t xml:space="preserve">Neste coluna você deve inserir a vida útil dos itens utilizados na piscicultura.</t>
      </text>
    </comment>
    <comment authorId="0" ref="F69">
      <text>
        <t xml:space="preserve">Este é o valor do patrimônio físico da propriedade utilizado na piscicultura.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Os custos variáveis são aqueles que variam de acordo com a quantidade produzida, ou seja, aumentam ou diminuem conforme se aumenta ou diminui a produção. </t>
      </text>
    </comment>
    <comment authorId="0" ref="E3">
      <text>
        <t xml:space="preserve">Nesta coluna você deve inserir a quantidade utilizada de cada item nesse ciclo de produção. Algumas células já estarão preenchidas, pois as informações inseridas por você nas planilhas passadas fazem esse cálculo automaticamente.</t>
      </text>
    </comment>
    <comment authorId="0" ref="F3">
      <text>
        <t xml:space="preserve">Nesta coluna você deve inserir o valor unitário dos itens utilizados neste ciclo de produção.</t>
      </text>
    </comment>
    <comment authorId="0" ref="G3">
      <text>
        <t xml:space="preserve">Os valores desta coluna representam os custos com cada um dos itens utilizados neste ciclo de produção.</t>
      </text>
    </comment>
    <comment authorId="0" ref="C31">
      <text>
        <t xml:space="preserve">Este item representa o custo com kit para análise (reagentes).</t>
      </text>
    </comment>
    <comment authorId="0" ref="C33">
      <text>
        <t xml:space="preserve">Este item representa o custo com mão de obra temporária, ou seja, gasto com pessoas que trabalham apenas em epócas específicas do cultivo como por exemplo: estocagem, despesca, etc.</t>
      </text>
    </comment>
    <comment authorId="0" ref="C35">
      <text>
        <t xml:space="preserve">Este item representa o custo com assistência técnica (visita) recebida durante este ciclo de produção.</t>
      </text>
    </comment>
    <comment authorId="0" ref="C38">
      <text>
        <t xml:space="preserve">Contribuição Especial para Seguridade Sociedade Rural.</t>
      </text>
    </comment>
    <comment authorId="0" ref="E38">
      <text>
        <t xml:space="preserve">2,3% da Receita Bruta.</t>
      </text>
    </comment>
    <comment authorId="0" ref="C40">
      <text>
        <t xml:space="preserve">Neste item você pode inserir os gastos com alguns custos variáveis já listados, mas também pode inserir outros custos variáveis nos campos "Outros Gastos".</t>
      </text>
    </comment>
    <comment authorId="0" ref="D41">
      <text>
        <t xml:space="preserve">kwh= quilowatt-hora</t>
      </text>
    </comment>
    <comment authorId="0" ref="E50">
      <text>
        <t xml:space="preserve">Este valor representa o custo variável total neste ciclo de produção.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Os custos fixos são aqueles que não mudam de acordo com a quantidade produzida, isso significa que se mantém estáveis produzindo ou não.</t>
      </text>
    </comment>
    <comment authorId="0" ref="D3">
      <text>
        <t xml:space="preserve">Este valor representa o custo com depreciação do capital físico durante o ciclo de produção. </t>
      </text>
    </comment>
    <comment authorId="0" ref="D7">
      <text>
        <t xml:space="preserve">Este valor representa o custo com conservação e reparos do capital físico durante o ciclo de produção.</t>
      </text>
    </comment>
    <comment authorId="0" ref="D11">
      <text>
        <t xml:space="preserve">Este valor representa valor do custo de oportunidade do capital físico e da terra.</t>
      </text>
    </comment>
    <comment authorId="0" ref="D14">
      <text>
        <t xml:space="preserve">Este valor reprenta o custo com a mão de obra fixa durante o ciclo de produção.</t>
      </text>
    </comment>
    <comment authorId="0" ref="C15">
      <text>
        <t xml:space="preserve">Nesta coluna você deve inserir o número de pessoas contradadas em cada categoria.</t>
      </text>
    </comment>
    <comment authorId="0" ref="D15">
      <text>
        <t xml:space="preserve">Nesta coluna você deve inserir o salário + encargos sociais de cada um dos contratados. </t>
      </text>
    </comment>
    <comment authorId="0" ref="E15">
      <text>
        <t xml:space="preserve">Esta coluna reprenta o custo com as diferentes categorias de mão de obra fixa no ciclo de produção.
</t>
      </text>
    </comment>
    <comment authorId="0" ref="D19">
      <text>
        <t xml:space="preserve">Esta coluna representa o custo com a remuneção do empresário durante o ciclo de produção.</t>
      </text>
    </comment>
    <comment authorId="0" ref="B20">
      <text>
        <t xml:space="preserve">Este item representa o salário que o empresário, dono da propriedade, deve receber por mês durante o ciclo de produção. O salário pode variar de acordo com: o tempo que o empresário destina a atividade, grau de escolaridade, tipo de trabalho, etc.</t>
      </text>
    </comment>
    <comment authorId="0" ref="B21">
      <text>
        <t xml:space="preserve">Neste item você poderá inserir valor pago do ITR e também gastos com outros impostos e taxas fixos.
</t>
      </text>
    </comment>
    <comment authorId="0" ref="D21">
      <text>
        <t xml:space="preserve">Esta célula representa o custo com taxas e impostos fixos durante o ciclo de produção.
</t>
      </text>
    </comment>
    <comment authorId="0" ref="B22">
      <text>
        <t xml:space="preserve">Imposto Territorial Rural (ITR).</t>
      </text>
    </comment>
    <comment authorId="0" ref="B25">
      <text>
        <t xml:space="preserve">Neste item você pode inserir os gastos com outros custos fixos durante o ciclo de produção, nos campos "Outros Custos".
</t>
      </text>
    </comment>
    <comment authorId="0" ref="D25">
      <text>
        <t xml:space="preserve">Este célula representa outros custos fixos durante o ciclo de produção. </t>
      </text>
    </comment>
    <comment authorId="0" ref="D26">
      <text>
        <t xml:space="preserve">Caso a área da piscicultura seja arrendada o custo com o arrendamento durante o cilco de produçõa é mostrado nesta célula.</t>
      </text>
    </comment>
    <comment authorId="0" ref="C31">
      <text>
        <t xml:space="preserve">Este valor representa o custo fixo total durante o ciclo de produção.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Esta coluna representa a quantidade de kg de peixes cada viveiro produziu durante o ciclo de produção.</t>
      </text>
    </comment>
    <comment authorId="0" ref="D3">
      <text>
        <t xml:space="preserve">Esta coluna representa o preço de venda (R$) por unidade.</t>
      </text>
    </comment>
    <comment authorId="0" ref="E3">
      <text>
        <t xml:space="preserve">Esta coluna representa a receita bruta por viveiro neste ciclo de produção.
</t>
      </text>
    </comment>
    <comment authorId="0" ref="F3">
      <text>
        <t xml:space="preserve">Esta coluna representa o tamanho de cada viveiro em m².</t>
      </text>
    </comment>
    <comment authorId="0" ref="G3">
      <text>
        <t xml:space="preserve">Esta coluna representa o tamanho de cada viveiro em hectares (ha).</t>
      </text>
    </comment>
    <comment authorId="0" ref="H3">
      <text>
        <t xml:space="preserve">Esta coluna representa a receita bruta por m² em cada um dos viveiros neste ciclo de produção.</t>
      </text>
    </comment>
    <comment authorId="0" ref="I3">
      <text>
        <t xml:space="preserve">Esta coluna representa a receita bruta por ha em cada um dos viveiros neste ciclo de produção.
</t>
      </text>
    </comment>
    <comment authorId="0" ref="C15">
      <text>
        <t xml:space="preserve">Este valor representa a quantidade total de kg de peixes produzidos neste ciclo de produção.</t>
      </text>
    </comment>
    <comment authorId="0" ref="D15">
      <text>
        <t xml:space="preserve">Este valor representa o valor de venda do kg de peixe (R$/kg).</t>
      </text>
    </comment>
    <comment authorId="0" ref="E15">
      <text>
        <t xml:space="preserve">Este valor representa a receita bruta total obtida neste ciclo de produção com a venda de peixes.</t>
      </text>
    </comment>
    <comment authorId="0" ref="F15">
      <text>
        <t xml:space="preserve">Este valor representa o tamanho total da área de viveiros em m².</t>
      </text>
    </comment>
    <comment authorId="0" ref="G15">
      <text>
        <t xml:space="preserve">Este valor representa o tamanho total da área de viveiros em ha.</t>
      </text>
    </comment>
    <comment authorId="0" ref="H15">
      <text>
        <t xml:space="preserve">Este valor representa a receita bruta média/m² obtida nesse cultivo, considerando a receita bruta total e a área total de viveiros.</t>
      </text>
    </comment>
    <comment authorId="0" ref="I15">
      <text>
        <t xml:space="preserve">Este valor representa a receita bruta média/ha obtida nesse cultivo, considerando a receita bruta total e a área total de viveiros.
</t>
      </text>
    </comment>
    <comment authorId="0" ref="E19">
      <text>
        <t xml:space="preserve">Este valor representa a receita bruta total obtida nesse cultivo considerando outras receitas de produtos/sub-produtos.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Este valor representa o custo fixo total desse ciclo de produção.
</t>
      </text>
    </comment>
    <comment authorId="0" ref="D4">
      <text>
        <t xml:space="preserve">Este valor representa o custo variável total desse ciclo de produção.
</t>
      </text>
    </comment>
    <comment authorId="0" ref="D5">
      <text>
        <t xml:space="preserve">Este valor representa o custo total deste ciclo de produção.</t>
      </text>
    </comment>
    <comment authorId="0" ref="D8">
      <text>
        <t xml:space="preserve">Este valor representa quanto custou para produzir um kg de peixe nesse ciclo de produção.</t>
      </text>
    </comment>
    <comment authorId="0" ref="D9">
      <text>
        <t xml:space="preserve">Este valor representa quanto custou do custo fixo para produzir um kg de peixe nesse ciclo de produção.</t>
      </text>
    </comment>
    <comment authorId="0" ref="L9">
      <text>
        <t xml:space="preserve">Este valor representa quanto custou de mão de obra (fixa e variável) para produzir um kg de peixe.</t>
      </text>
    </comment>
    <comment authorId="0" ref="D10">
      <text>
        <t xml:space="preserve">Este valor representa quanto custou do custo variável para produzir um kg de peixe.</t>
      </text>
    </comment>
    <comment authorId="0" ref="H10">
      <text>
        <t xml:space="preserve">Este valor representa quantos kgs de alimento (ração) foram necessários para produzir um kg de peixe na recria.</t>
      </text>
    </comment>
    <comment authorId="0" ref="L10">
      <text>
        <t xml:space="preserve">Este valor representa o custo total com mão de obra (fixa e variável).</t>
      </text>
    </comment>
    <comment authorId="0" ref="D11">
      <text>
        <t xml:space="preserve">Indica o percentual de ganho obtido sobre as vendas realizadas.</t>
      </text>
    </comment>
    <comment authorId="0" ref="H11">
      <text>
        <t xml:space="preserve">Este valor representa quantos kgs de alimento (ração) foram necessários para produzir um kg de peixe na engorda.</t>
      </text>
    </comment>
    <comment authorId="0" ref="L11">
      <text>
        <t xml:space="preserve">Este valor representa quantos kgs de peixe cada homem envolvido no cultivo produziu neste ciclo de produção.</t>
      </text>
    </comment>
    <comment authorId="0" ref="D12">
      <text>
        <t xml:space="preserve">Este valor representa a receita bruta total obtida neste ciclo de produção.</t>
      </text>
    </comment>
    <comment authorId="0" ref="H12">
      <text>
        <t xml:space="preserve">Este valor representa quantos kgs de alimento (ração) foram necessários para produzir um kg de peixe na terminação.
</t>
      </text>
    </comment>
    <comment authorId="0" ref="D13">
      <text>
        <t xml:space="preserve">Este valor representa a receita bruta média/m², considerando a receita bruta total e a área total de viveiros. </t>
      </text>
    </comment>
    <comment authorId="0" ref="H13">
      <text>
        <t xml:space="preserve">Este valor representa quantos kgs de alimento (ração) foram necessários para produzir um kg de peixe no cultivo de única fase.
</t>
      </text>
    </comment>
    <comment authorId="0" ref="D14">
      <text>
        <t xml:space="preserve">Este valor representa a receita bruta média/ha obtida nesse cultivo, considerando a receita bruta total e a área total de viveiros.
</t>
      </text>
    </comment>
    <comment authorId="0" ref="H14">
      <text>
        <t xml:space="preserve">Este valor representa quanto custou para produzir um kg de peixes, considerando apenas o custo da ração.</t>
      </text>
    </comment>
    <comment authorId="0" ref="D15">
      <text>
        <t xml:space="preserve">Este valor representa a receita obtida no ciclo, deduzindo o custo fixo e considerando apenas os custos variáveis.</t>
      </text>
    </comment>
    <comment authorId="0" ref="H15">
      <text>
        <t xml:space="preserve">Este valor representa o custo total do alimento (ração) neste ciclo de produção.</t>
      </text>
    </comment>
    <comment authorId="0" ref="D16">
      <text>
        <t xml:space="preserve">Este valor representa a margem líquida (lucro) obtida neste ciclo de produção.</t>
      </text>
    </comment>
    <comment authorId="0" ref="H16">
      <text>
        <t xml:space="preserve">Este valor representa a quantidade mínima que é necessária produzir de kg de peixes para cobrir o custo total de produção.</t>
      </text>
    </comment>
    <comment authorId="0" ref="D17">
      <text>
        <t xml:space="preserve">Este valor representa a margem líquida (lucro)/m² obtida neste ciclo de produção.
</t>
      </text>
    </comment>
    <comment authorId="0" ref="D18">
      <text>
        <t xml:space="preserve">Este valor representa a margem líquida (lucro)/ha obtida neste ciclo de produção.
</t>
      </text>
    </comment>
    <comment authorId="0" ref="H18">
      <text>
        <t xml:space="preserve">Este valor representa quanto cada m² da área total de viveiros produziu de kg de peixe neste ciclo de produção na recria.</t>
      </text>
    </comment>
    <comment authorId="0" ref="D19">
      <text>
        <t xml:space="preserve">Este valor representa a margem líquida (lucro) obtida em cada kg de peixe vendido.</t>
      </text>
    </comment>
    <comment authorId="0" ref="H19">
      <text>
        <t xml:space="preserve">Este valor representa quanto cada m² da área total de viveiros produziu de kg de peixe neste ciclo de produção na engorda.</t>
      </text>
    </comment>
    <comment authorId="0" ref="D20">
      <text>
        <t xml:space="preserve">Este valor representa o preço mínimo de venda do kg de peixe para cobrir o custo total de produção.</t>
      </text>
    </comment>
    <comment authorId="0" ref="H20">
      <text>
        <t xml:space="preserve">Este valor representa quanto cada m² da área total de viveiros produziu de kg de peixe neste ciclo de produção na terminação.</t>
      </text>
    </comment>
    <comment authorId="0" ref="H21">
      <text>
        <t xml:space="preserve">Este valor representa quanto cada m² da área total de viveiros produziu de kg de peixe neste ciclo de produção no cultivo de única fase.
</t>
      </text>
    </comment>
    <comment authorId="0" ref="D22">
      <text>
        <t xml:space="preserve">Indica o percentual de remuneração do capital investido na empresa.
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Esta coluna representa em R$ quanto cada item custou no ciclo de produção.</t>
      </text>
    </comment>
    <comment authorId="0" ref="G3">
      <text>
        <t xml:space="preserve">Esta coluna representa a contribuição, em porcentagem (%) de cada item do custo fixo no custo fixo final.</t>
      </text>
    </comment>
    <comment authorId="0" ref="H3">
      <text>
        <t xml:space="preserve">Esta coluna representa a contribuição em porcentagem (%) de cada item no custo total.</t>
      </text>
    </comment>
    <comment authorId="0" ref="C13">
      <text>
        <t xml:space="preserve">Esta coluna representa em R$ quanto cada item custou no ciclo de produção.
</t>
      </text>
    </comment>
    <comment authorId="0" ref="G13">
      <text>
        <t xml:space="preserve">Esta coluna representa a contribuição, em porcentagem (%) de cada item do custo variável no custo variável final.</t>
      </text>
    </comment>
    <comment authorId="0" ref="H13">
      <text>
        <t xml:space="preserve">Esta coluna representa a contribuição em porcentagem (%) de cada item no custo total.
</t>
      </text>
    </comment>
  </commentList>
</comments>
</file>

<file path=xl/sharedStrings.xml><?xml version="1.0" encoding="utf-8"?>
<sst xmlns="http://schemas.openxmlformats.org/spreadsheetml/2006/main" count="1013" uniqueCount="398">
  <si>
    <t>Dados Gerais</t>
  </si>
  <si>
    <t>Nome da empresa</t>
  </si>
  <si>
    <t>MLG Pescados</t>
  </si>
  <si>
    <t>Nome do proprietário</t>
  </si>
  <si>
    <t>Marcelo Ripamonti</t>
  </si>
  <si>
    <t>Endereço/ Cidade/ UF</t>
  </si>
  <si>
    <t>Rua Abel Scuissiato, 2829 - Atuba/ Colombo - PR</t>
  </si>
  <si>
    <t>Atividade desenvolvida</t>
  </si>
  <si>
    <t>Produção de tilápias com tecnologia de bioflocos</t>
  </si>
  <si>
    <t>Registro Incra</t>
  </si>
  <si>
    <t xml:space="preserve">Arrendamento </t>
  </si>
  <si>
    <t>Não</t>
  </si>
  <si>
    <t>Tipo de cultivo</t>
  </si>
  <si>
    <t>Monofásico</t>
  </si>
  <si>
    <t>Parâmetros Econômicos</t>
  </si>
  <si>
    <t>Discriminação</t>
  </si>
  <si>
    <t>Unidade</t>
  </si>
  <si>
    <t>Quantidade ao ano</t>
  </si>
  <si>
    <t>Taxa de juro estimada</t>
  </si>
  <si>
    <t>Custo de oportunidade da terra</t>
  </si>
  <si>
    <t>%</t>
  </si>
  <si>
    <t>Custo de oportunidade do capital físico</t>
  </si>
  <si>
    <t>Condições de mercado</t>
  </si>
  <si>
    <t>Produto/sub-produto</t>
  </si>
  <si>
    <t>Especificação</t>
  </si>
  <si>
    <t>R$/Unidade</t>
  </si>
  <si>
    <t>Tilápia</t>
  </si>
  <si>
    <t>kg</t>
  </si>
  <si>
    <t>Peixe vivo</t>
  </si>
  <si>
    <t>unidade</t>
  </si>
  <si>
    <t>Filé processado</t>
  </si>
  <si>
    <t>Outras receitas 2</t>
  </si>
  <si>
    <t>Outras receitas 3</t>
  </si>
  <si>
    <t>Parâmetros zootécnicos recria</t>
  </si>
  <si>
    <t>área total de viveiro</t>
  </si>
  <si>
    <t>Entrada de dados</t>
  </si>
  <si>
    <t>m2</t>
  </si>
  <si>
    <t>ha</t>
  </si>
  <si>
    <t>Viveiro 1</t>
  </si>
  <si>
    <t>Viveiro 2</t>
  </si>
  <si>
    <t>Viveiro 3</t>
  </si>
  <si>
    <t>Viveiro 4</t>
  </si>
  <si>
    <t>Viveiro 5</t>
  </si>
  <si>
    <t>Viveiro 6</t>
  </si>
  <si>
    <t>Viveiro 7</t>
  </si>
  <si>
    <t>Viveiro 8</t>
  </si>
  <si>
    <t>Viveiro 9</t>
  </si>
  <si>
    <t>Viveiro 10</t>
  </si>
  <si>
    <t>Área do viveiro</t>
  </si>
  <si>
    <t>m²</t>
  </si>
  <si>
    <t xml:space="preserve">Data de estocagem dos alevinos </t>
  </si>
  <si>
    <t>DD/MM/AA</t>
  </si>
  <si>
    <t>Número de alevinos estocados</t>
  </si>
  <si>
    <t>número</t>
  </si>
  <si>
    <t>Peso médio inicial dos alevinos</t>
  </si>
  <si>
    <t>g</t>
  </si>
  <si>
    <t>Data de despesca dos juvenis</t>
  </si>
  <si>
    <t>Número de juvenis despescados</t>
  </si>
  <si>
    <t xml:space="preserve">Peso médio final dos peixes </t>
  </si>
  <si>
    <t>Quantidade de ração utilizada</t>
  </si>
  <si>
    <t>Parâmetros zootécnicos obtidos</t>
  </si>
  <si>
    <t xml:space="preserve">Biomassa inicial </t>
  </si>
  <si>
    <t>Biomassa final</t>
  </si>
  <si>
    <t>Taxa de sobrevivência</t>
  </si>
  <si>
    <t>Período de cultivo</t>
  </si>
  <si>
    <t>dias</t>
  </si>
  <si>
    <t>Ganho de biomassa</t>
  </si>
  <si>
    <t>Densidade</t>
  </si>
  <si>
    <t>peixes/m²</t>
  </si>
  <si>
    <t>Produtividade por m²</t>
  </si>
  <si>
    <t>kg/m²/ciclo</t>
  </si>
  <si>
    <t>Produtividade por ha</t>
  </si>
  <si>
    <t>kg/ha/ciclo</t>
  </si>
  <si>
    <t xml:space="preserve">Conversão alimentar </t>
  </si>
  <si>
    <t>(DD/MM/AA)</t>
  </si>
  <si>
    <t>Média</t>
  </si>
  <si>
    <t>Parâmetros zootécnicos monofásico</t>
  </si>
  <si>
    <t xml:space="preserve">Data de despesca dos peixes </t>
  </si>
  <si>
    <t>Número de peixes despescados</t>
  </si>
  <si>
    <t>Inventário</t>
  </si>
  <si>
    <t>Terra</t>
  </si>
  <si>
    <t>Custos para Implantação</t>
  </si>
  <si>
    <t>Quantidade</t>
  </si>
  <si>
    <t>Preço unitário</t>
  </si>
  <si>
    <t>Valor total</t>
  </si>
  <si>
    <t>Compra da área</t>
  </si>
  <si>
    <t>Outros 1</t>
  </si>
  <si>
    <t>Outros 2</t>
  </si>
  <si>
    <t>Valor do arrendamento/mês</t>
  </si>
  <si>
    <t>Área de cultivo de peixes</t>
  </si>
  <si>
    <t>Área de preservação e reserva</t>
  </si>
  <si>
    <t>Área Total</t>
  </si>
  <si>
    <t>Outros 3</t>
  </si>
  <si>
    <t>Máquinas e Veículos</t>
  </si>
  <si>
    <t>Preço unitário (R$)</t>
  </si>
  <si>
    <t>Vida útil (anos)</t>
  </si>
  <si>
    <t>Balsa</t>
  </si>
  <si>
    <t>Barco sem motor</t>
  </si>
  <si>
    <t>Bote</t>
  </si>
  <si>
    <t>Carro 1</t>
  </si>
  <si>
    <t>Carro 2</t>
  </si>
  <si>
    <t>Trator 1</t>
  </si>
  <si>
    <t>Trator 2</t>
  </si>
  <si>
    <t>Outros 4</t>
  </si>
  <si>
    <t>Outros 5</t>
  </si>
  <si>
    <t>Equipamentos</t>
  </si>
  <si>
    <t>Aerador</t>
  </si>
  <si>
    <t>Balança</t>
  </si>
  <si>
    <t>Balde para arraçoamento</t>
  </si>
  <si>
    <t>Caixa d' água</t>
  </si>
  <si>
    <t>Caixa de Isopor</t>
  </si>
  <si>
    <t>Construção do viveiro e benfeitorias</t>
  </si>
  <si>
    <t>Caixa para transporte</t>
  </si>
  <si>
    <t>Tanque de PVC</t>
  </si>
  <si>
    <t>Cordas</t>
  </si>
  <si>
    <t>metro</t>
  </si>
  <si>
    <t>Freezer</t>
  </si>
  <si>
    <t>Estufa</t>
  </si>
  <si>
    <t>Gerador</t>
  </si>
  <si>
    <t>Tubulação</t>
  </si>
  <si>
    <t>Kit para análise de água</t>
  </si>
  <si>
    <t>Poste de luz</t>
  </si>
  <si>
    <t>Joelho PVC</t>
  </si>
  <si>
    <t>Madeira</t>
  </si>
  <si>
    <r>
      <t>m</t>
    </r>
    <r>
      <rPr>
        <rFont val="Arial"/>
        <i/>
        <color theme="1"/>
        <sz val="10.0"/>
      </rPr>
      <t>³</t>
    </r>
  </si>
  <si>
    <t>Pedra Brita</t>
  </si>
  <si>
    <r>
      <t>m</t>
    </r>
    <r>
      <rPr>
        <rFont val="Arial"/>
        <i/>
        <color theme="1"/>
        <sz val="10.0"/>
      </rPr>
      <t>³</t>
    </r>
  </si>
  <si>
    <t>Retroescavadeira</t>
  </si>
  <si>
    <t>hora/máquina</t>
  </si>
  <si>
    <t>Tábuas</t>
  </si>
  <si>
    <t>m</t>
  </si>
  <si>
    <t>Telhas</t>
  </si>
  <si>
    <t>milheiro</t>
  </si>
  <si>
    <t>Tijolos</t>
  </si>
  <si>
    <t>Trator de esteira</t>
  </si>
  <si>
    <t>Tubos de concreto</t>
  </si>
  <si>
    <t>Outros materias 1</t>
  </si>
  <si>
    <t>Outros materias 2</t>
  </si>
  <si>
    <t>Outros materias 3</t>
  </si>
  <si>
    <t>Outros materias 4</t>
  </si>
  <si>
    <t>Outros materias 5</t>
  </si>
  <si>
    <t>Materiais e Equipamentos</t>
  </si>
  <si>
    <t>Oxímetro</t>
  </si>
  <si>
    <t>Puça</t>
  </si>
  <si>
    <t/>
  </si>
  <si>
    <t>Tarrafa</t>
  </si>
  <si>
    <t>Aquecedor de imersão</t>
  </si>
  <si>
    <t>Balança de gancho</t>
  </si>
  <si>
    <t>Kit para análise</t>
  </si>
  <si>
    <t>Motobomba</t>
  </si>
  <si>
    <t>Carreta</t>
  </si>
  <si>
    <t>Geladeira</t>
  </si>
  <si>
    <t xml:space="preserve">Rede </t>
  </si>
  <si>
    <t>Caixa de isopor</t>
  </si>
  <si>
    <t>Mesa</t>
  </si>
  <si>
    <t>Outros equipamentos 1</t>
  </si>
  <si>
    <t>Outros equipamentos 2</t>
  </si>
  <si>
    <t>Outros equipamentos 3</t>
  </si>
  <si>
    <t>Outros equipamentos 4</t>
  </si>
  <si>
    <t>Outros equipamentos 5</t>
  </si>
  <si>
    <t>Benfeitorias</t>
  </si>
  <si>
    <t>Caixa d'água</t>
  </si>
  <si>
    <t>Mão de obra</t>
  </si>
  <si>
    <t>Mestre de obras</t>
  </si>
  <si>
    <t>dia/homem</t>
  </si>
  <si>
    <t>Serviços gerais</t>
  </si>
  <si>
    <t>Outros</t>
  </si>
  <si>
    <t>salário</t>
  </si>
  <si>
    <t>Depósito de ração</t>
  </si>
  <si>
    <t>Taxas e Impostos</t>
  </si>
  <si>
    <t>Escritório</t>
  </si>
  <si>
    <t>CREA (A.R.T)</t>
  </si>
  <si>
    <t>Licença ambiental - IAP</t>
  </si>
  <si>
    <t>Casa funcionário 2</t>
  </si>
  <si>
    <t>Galpão 1</t>
  </si>
  <si>
    <t>Licença de outorga</t>
  </si>
  <si>
    <t>Galpão 2</t>
  </si>
  <si>
    <t xml:space="preserve">Laboratório </t>
  </si>
  <si>
    <t>Assessoria técnica</t>
  </si>
  <si>
    <t>Elaboração do projeto</t>
  </si>
  <si>
    <t>horas</t>
  </si>
  <si>
    <t>Custo total de implantação do projeto</t>
  </si>
  <si>
    <t>Valor total do patrimônio da empresa</t>
  </si>
  <si>
    <t>Custos Variáveis</t>
  </si>
  <si>
    <t>Itens</t>
  </si>
  <si>
    <t>Quantidade/ciclo</t>
  </si>
  <si>
    <t>R$/unidade</t>
  </si>
  <si>
    <t>R$/ciclo</t>
  </si>
  <si>
    <t>Alevinos/juvenis</t>
  </si>
  <si>
    <t>Espécie 1</t>
  </si>
  <si>
    <t>Espécie 2</t>
  </si>
  <si>
    <t>Espécie 3</t>
  </si>
  <si>
    <t>Subtotal</t>
  </si>
  <si>
    <t>Alimentação</t>
  </si>
  <si>
    <t>Ração recria</t>
  </si>
  <si>
    <t>Ração engorda</t>
  </si>
  <si>
    <t>Ração terminação</t>
  </si>
  <si>
    <t>Ração p/ ciclo inteiro</t>
  </si>
  <si>
    <t>Ração 1</t>
  </si>
  <si>
    <t>Ração 2</t>
  </si>
  <si>
    <t>Fertilizantes</t>
  </si>
  <si>
    <t>Orgânico 1</t>
  </si>
  <si>
    <t>ton</t>
  </si>
  <si>
    <t>Orgânico 2</t>
  </si>
  <si>
    <t>Químico 1</t>
  </si>
  <si>
    <t>Químico 2</t>
  </si>
  <si>
    <t>Corretivos</t>
  </si>
  <si>
    <t>Açúcar comum</t>
  </si>
  <si>
    <t>Cal virgem</t>
  </si>
  <si>
    <t>Cal hidratada</t>
  </si>
  <si>
    <t>Cloro</t>
  </si>
  <si>
    <t>Calcário</t>
  </si>
  <si>
    <t>Análises (reagentes)</t>
  </si>
  <si>
    <t>Mão de obra temporária</t>
  </si>
  <si>
    <t>Salário de temporários</t>
  </si>
  <si>
    <t>número homens</t>
  </si>
  <si>
    <t>Assistência técnica</t>
  </si>
  <si>
    <t>Visita Técnica</t>
  </si>
  <si>
    <t>visita</t>
  </si>
  <si>
    <t>Taxas e impostos</t>
  </si>
  <si>
    <t>Ambientais (renovação)</t>
  </si>
  <si>
    <t>CESSR</t>
  </si>
  <si>
    <t>Imposto 1</t>
  </si>
  <si>
    <t>Outros custos variáveis</t>
  </si>
  <si>
    <t>Energia elétrica</t>
  </si>
  <si>
    <t>kwh</t>
  </si>
  <si>
    <t>Combustível</t>
  </si>
  <si>
    <t>litros</t>
  </si>
  <si>
    <t>Transporte</t>
  </si>
  <si>
    <t>km</t>
  </si>
  <si>
    <t>Outros Gastos 1</t>
  </si>
  <si>
    <t>Outros Gastos 2</t>
  </si>
  <si>
    <t>Outros Gastos 3</t>
  </si>
  <si>
    <t>Outros Gastos 4</t>
  </si>
  <si>
    <t>Outros Gastos 5</t>
  </si>
  <si>
    <t>Valor total dos custos variáveis</t>
  </si>
  <si>
    <t>média (+ 1 fase)</t>
  </si>
  <si>
    <t>médio monof</t>
  </si>
  <si>
    <t>Custos Fixos</t>
  </si>
  <si>
    <t>RECRIA</t>
  </si>
  <si>
    <t xml:space="preserve">Depreciação </t>
  </si>
  <si>
    <t>ENGORDA</t>
  </si>
  <si>
    <t>TERMINAÇÃO</t>
  </si>
  <si>
    <t>Máquinas e veículos</t>
  </si>
  <si>
    <t>TOTAL</t>
  </si>
  <si>
    <t>Conservação e reparos</t>
  </si>
  <si>
    <t>% sobreviv</t>
  </si>
  <si>
    <t>recria</t>
  </si>
  <si>
    <t>engorda</t>
  </si>
  <si>
    <t>Custo de oportunidade</t>
  </si>
  <si>
    <t>termi</t>
  </si>
  <si>
    <t>total</t>
  </si>
  <si>
    <t>Capital Físico</t>
  </si>
  <si>
    <t>Mão de obra fixa</t>
  </si>
  <si>
    <t>produtividade hec</t>
  </si>
  <si>
    <t>nº contratados</t>
  </si>
  <si>
    <t>R$/mês</t>
  </si>
  <si>
    <t>Salário gerência + encargos sociais</t>
  </si>
  <si>
    <t>Salário contratado + encargos sociais</t>
  </si>
  <si>
    <t>Remuneração do empresário</t>
  </si>
  <si>
    <t xml:space="preserve">Remuneração </t>
  </si>
  <si>
    <t>densidade</t>
  </si>
  <si>
    <t>ITR</t>
  </si>
  <si>
    <t>Taxa 1</t>
  </si>
  <si>
    <t>Receita bruta</t>
  </si>
  <si>
    <t>Taxa 2</t>
  </si>
  <si>
    <t xml:space="preserve">Quantidade/ciclo </t>
  </si>
  <si>
    <t>Receita/ciclo</t>
  </si>
  <si>
    <t>Receita/m²</t>
  </si>
  <si>
    <t>Outros custos fixos</t>
  </si>
  <si>
    <t>Receita/ha</t>
  </si>
  <si>
    <t>Produção peixes</t>
  </si>
  <si>
    <t>R$/kg</t>
  </si>
  <si>
    <t>R$/m²/ciclo</t>
  </si>
  <si>
    <t>R$/ha/ciclo</t>
  </si>
  <si>
    <t>Valor do arrendamento</t>
  </si>
  <si>
    <t>Outros Custos 1</t>
  </si>
  <si>
    <t>Outros Custos 2</t>
  </si>
  <si>
    <t>Outros Custos 3</t>
  </si>
  <si>
    <t>Valor total dos custos fixos</t>
  </si>
  <si>
    <t>Total venda de peixes</t>
  </si>
  <si>
    <t>Outras receitas 1</t>
  </si>
  <si>
    <t>Total</t>
  </si>
  <si>
    <t>Taxa e Impostos</t>
  </si>
  <si>
    <t>Custo de Oportunidade</t>
  </si>
  <si>
    <t>Valor Total</t>
  </si>
  <si>
    <t>Taxa Utilizada/ano</t>
  </si>
  <si>
    <t>Custo de Oportunidade/ano</t>
  </si>
  <si>
    <t>Conservação e Reparo (R$/ano)</t>
  </si>
  <si>
    <t>Depreciação (R$/ano)</t>
  </si>
  <si>
    <t>Unidade de medida</t>
  </si>
  <si>
    <t>Valor (R$)/unidade</t>
  </si>
  <si>
    <t>Quantidade / Unid</t>
  </si>
  <si>
    <t>Valor Novo</t>
  </si>
  <si>
    <t>Conservação e Reparos (%)</t>
  </si>
  <si>
    <t>Valor Total (R$)</t>
  </si>
  <si>
    <t>Valor Residual    (% do novo)</t>
  </si>
  <si>
    <t>Valor Residual    (R$)</t>
  </si>
  <si>
    <t>Vida Útil (anos)</t>
  </si>
  <si>
    <t>Valor (R$)/und</t>
  </si>
  <si>
    <t>Misturador de ração</t>
  </si>
  <si>
    <t>Quantidade (m2)/ Unid</t>
  </si>
  <si>
    <t>Casa funcionário 1</t>
  </si>
  <si>
    <t>Casa sede</t>
  </si>
  <si>
    <t>Custo de Produção</t>
  </si>
  <si>
    <t xml:space="preserve">Custo fixo </t>
  </si>
  <si>
    <t>Custo variável</t>
  </si>
  <si>
    <t>Custo total</t>
  </si>
  <si>
    <t>Indicadores econômicos</t>
  </si>
  <si>
    <t>Indicadores técnicos</t>
  </si>
  <si>
    <t>Indicadores sociais</t>
  </si>
  <si>
    <t>Custo de produção/kg produzido</t>
  </si>
  <si>
    <t>Área total de viveiros</t>
  </si>
  <si>
    <t>Número de funcionários fixos no cultivo</t>
  </si>
  <si>
    <t>Custo fixo/kg produzido</t>
  </si>
  <si>
    <t>Período de cultivo médio</t>
  </si>
  <si>
    <t>Custo da mão de obra/kg produzido</t>
  </si>
  <si>
    <t>Custo variável/kg produzido</t>
  </si>
  <si>
    <t>Conversão alimentar média na recria</t>
  </si>
  <si>
    <t>Custo total da mão de obra</t>
  </si>
  <si>
    <t>R$</t>
  </si>
  <si>
    <t>Lucratividade</t>
  </si>
  <si>
    <t>Conversão alimentar média na engorda</t>
  </si>
  <si>
    <t>Produtividade da mão de obra</t>
  </si>
  <si>
    <t>Conversão alimentar média na terminação</t>
  </si>
  <si>
    <t>Receita bruta/m²</t>
  </si>
  <si>
    <t>Conversão alimentar média no monofásico</t>
  </si>
  <si>
    <t>Receita bruta/ha</t>
  </si>
  <si>
    <t>Custo da ração/kg produzido</t>
  </si>
  <si>
    <t>Margem bruta</t>
  </si>
  <si>
    <t>Custo total da ração</t>
  </si>
  <si>
    <t xml:space="preserve">Margem líquida </t>
  </si>
  <si>
    <t>Produtividade de nivelamento</t>
  </si>
  <si>
    <t xml:space="preserve">Margem líquida/m² </t>
  </si>
  <si>
    <t>Quantidade de ração utilizada no ciclo</t>
  </si>
  <si>
    <t xml:space="preserve">Margem líquida/ha </t>
  </si>
  <si>
    <t>Produtividade média na recria/m²</t>
  </si>
  <si>
    <t>Margem líquida por quilograma produzido</t>
  </si>
  <si>
    <t>Produtividade média na engorda/m²</t>
  </si>
  <si>
    <t>Ponto de nivelamento do preço</t>
  </si>
  <si>
    <t>Produtividade média na terminação/m²</t>
  </si>
  <si>
    <t xml:space="preserve">Preço médio de venda peixe </t>
  </si>
  <si>
    <t>Produtividade média no monofásico/m²</t>
  </si>
  <si>
    <t>Rentabilidade</t>
  </si>
  <si>
    <t>Quantidade de kg de peixes produzidos no ciclo</t>
  </si>
  <si>
    <t>Custos fixos</t>
  </si>
  <si>
    <t>% no fixo</t>
  </si>
  <si>
    <t>% no total</t>
  </si>
  <si>
    <t>% cf no ct</t>
  </si>
  <si>
    <t>% no custo fixo</t>
  </si>
  <si>
    <t>% no custo total</t>
  </si>
  <si>
    <t>Depreciação</t>
  </si>
  <si>
    <t>Taxas e Impostos fixos</t>
  </si>
  <si>
    <t>Retorno do investimento</t>
  </si>
  <si>
    <t>Ciclo 0</t>
  </si>
  <si>
    <t>Custos variáveis</t>
  </si>
  <si>
    <t>Ciclo 1</t>
  </si>
  <si>
    <t>Ciclo 2</t>
  </si>
  <si>
    <t>Ciclo 3</t>
  </si>
  <si>
    <t>Ciclo 4</t>
  </si>
  <si>
    <t>Ciclo 5</t>
  </si>
  <si>
    <t>Ciclo 6</t>
  </si>
  <si>
    <t>Ciclo 7</t>
  </si>
  <si>
    <t>Ciclo 8</t>
  </si>
  <si>
    <t>Ciclo 9</t>
  </si>
  <si>
    <t>Ciclo 10</t>
  </si>
  <si>
    <t>% no variável</t>
  </si>
  <si>
    <t>% cv no ct</t>
  </si>
  <si>
    <t>% no custo variável</t>
  </si>
  <si>
    <t>Alevinos</t>
  </si>
  <si>
    <t>Análises</t>
  </si>
  <si>
    <t>Período de retorno do investimento</t>
  </si>
  <si>
    <t>Taxas e Impostos variáveis</t>
  </si>
  <si>
    <t xml:space="preserve"> Página 1</t>
  </si>
  <si>
    <t>Página 2</t>
  </si>
  <si>
    <t>Nome da fazenda</t>
  </si>
  <si>
    <t>Relatório do ciclo produção</t>
  </si>
  <si>
    <t>Parâmetro técnicos</t>
  </si>
  <si>
    <t>Parâmetros econômicos</t>
  </si>
  <si>
    <t>Área de viveiros</t>
  </si>
  <si>
    <t>Custo fixo</t>
  </si>
  <si>
    <t>meses</t>
  </si>
  <si>
    <t>Peso médio inicial</t>
  </si>
  <si>
    <t>Biomassa Inicial</t>
  </si>
  <si>
    <t>Peso médio final</t>
  </si>
  <si>
    <t>Biomassa Finial</t>
  </si>
  <si>
    <t>Margem líquida</t>
  </si>
  <si>
    <t>Taxa de sobrevivência média do cultivo</t>
  </si>
  <si>
    <t>Margem líquida/m²</t>
  </si>
  <si>
    <t>Quantidade de ração utilizada no cultivo</t>
  </si>
  <si>
    <t>Margem líquida/kg produzido</t>
  </si>
  <si>
    <t>Quantidade de peixes produzidos no cultivo</t>
  </si>
  <si>
    <t>Ponto de nivelamento preço</t>
  </si>
  <si>
    <t>Produtividade média do cultivo</t>
  </si>
  <si>
    <t>Ponto de nivelamento da produção</t>
  </si>
  <si>
    <t>Conversão alimentar média do cultivo</t>
  </si>
  <si>
    <t>Densidade média no cultivo</t>
  </si>
  <si>
    <t>Elaborado por Carlos Henrique Kulik, Helton Gonçalves Nascimento e Thiago Augusto da Cruz. Universidade Federal da Paraná (UFPR), Setor de Ciências Agrárias, Departamento de Zootecnia, Disciplina de Piscicultura - Prof.Dr. Antonio Ostrensky Neto.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</si>
</sst>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%"/>
    <numFmt numFmtId="165" formatCode="&quot;R$&quot;\ #,##0.00"/>
    <numFmt numFmtId="166" formatCode="0.0"/>
    <numFmt numFmtId="167" formatCode="_-&quot;R$ &quot;* #,##0.00_-;&quot;-R$ &quot;* #,##0.00_-;_-&quot;R$ &quot;* \-??_-;_-@"/>
    <numFmt numFmtId="168" formatCode="_-&quot;R$&quot;\ * #,##0.00_-;\-&quot;R$&quot;\ * #,##0.00_-;_-&quot;R$&quot;\ * &quot;-&quot;??_-;_-@"/>
    <numFmt numFmtId="169" formatCode="0.00000000"/>
    <numFmt numFmtId="170" formatCode="[$-F800]dddd\,\ mmmm\ dd\,\ yyyy"/>
    <numFmt numFmtId="171" formatCode="[$-F400]h:mm:ss\ AM/PM"/>
  </numFmts>
  <fonts count="19">
    <font>
      <sz val="11.0"/>
      <color theme="1"/>
      <name val="Arial"/>
    </font>
    <font>
      <sz val="11.0"/>
      <color theme="1"/>
      <name val="Calibri"/>
    </font>
    <font>
      <u/>
      <sz val="11.0"/>
      <color theme="10"/>
      <name val="Calibri"/>
    </font>
    <font>
      <b/>
      <sz val="11.0"/>
      <color rgb="FFFF0000"/>
      <name val="Calibri"/>
    </font>
    <font>
      <b/>
      <sz val="12.0"/>
      <color theme="1"/>
      <name val="Arial"/>
    </font>
    <font/>
    <font>
      <sz val="12.0"/>
      <color theme="1"/>
      <name val="Arial"/>
    </font>
    <font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1.0"/>
      <color rgb="FF000000"/>
      <name val="Calibri"/>
    </font>
    <font>
      <sz val="10.0"/>
      <color rgb="FF000000"/>
      <name val="Arial"/>
    </font>
    <font>
      <b/>
      <sz val="10.0"/>
      <color rgb="FF000000"/>
      <name val="Arial"/>
    </font>
    <font>
      <b/>
      <sz val="11.0"/>
      <color theme="1"/>
      <name val="Arial"/>
    </font>
    <font>
      <sz val="10.0"/>
      <color theme="1"/>
      <name val="Calibri"/>
    </font>
    <font>
      <sz val="9.0"/>
      <color theme="1"/>
      <name val="Arial"/>
    </font>
    <font>
      <sz val="10.0"/>
      <color rgb="FF000000"/>
      <name val="Calibri"/>
    </font>
    <font>
      <sz val="8.0"/>
      <color theme="1"/>
      <name val="Calibri"/>
    </font>
    <font>
      <b/>
      <sz val="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B6DDE8"/>
        <bgColor rgb="FFB6DDE8"/>
      </patternFill>
    </fill>
    <fill>
      <patternFill patternType="solid">
        <fgColor rgb="FFBFBFBF"/>
        <bgColor rgb="FFBFBFBF"/>
      </patternFill>
    </fill>
  </fills>
  <borders count="8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</border>
    <border>
      <left/>
      <right/>
      <bottom/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2" fillId="3" fontId="4" numFmtId="0" xfId="0" applyAlignment="1" applyBorder="1" applyFill="1" applyFont="1">
      <alignment horizontal="center"/>
    </xf>
    <xf borderId="3" fillId="0" fontId="5" numFmtId="0" xfId="0" applyBorder="1" applyFont="1"/>
    <xf borderId="4" fillId="4" fontId="6" numFmtId="0" xfId="0" applyBorder="1" applyFill="1" applyFont="1"/>
    <xf borderId="5" fillId="0" fontId="7" numFmtId="0" xfId="0" applyAlignment="1" applyBorder="1" applyFont="1">
      <alignment readingOrder="0"/>
    </xf>
    <xf borderId="6" fillId="4" fontId="6" numFmtId="0" xfId="0" applyBorder="1" applyFont="1"/>
    <xf borderId="7" fillId="0" fontId="7" numFmtId="0" xfId="0" applyAlignment="1" applyBorder="1" applyFont="1">
      <alignment readingOrder="0"/>
    </xf>
    <xf borderId="7" fillId="0" fontId="6" numFmtId="0" xfId="0" applyAlignment="1" applyBorder="1" applyFont="1">
      <alignment horizontal="left"/>
    </xf>
    <xf borderId="8" fillId="4" fontId="6" numFmtId="0" xfId="0" applyBorder="1" applyFont="1"/>
    <xf borderId="9" fillId="0" fontId="7" numFmtId="0" xfId="0" applyAlignment="1" applyBorder="1" applyFont="1">
      <alignment readingOrder="0"/>
    </xf>
    <xf borderId="10" fillId="3" fontId="4" numFmtId="0" xfId="0" applyAlignment="1" applyBorder="1" applyFont="1">
      <alignment horizontal="center"/>
    </xf>
    <xf borderId="11" fillId="0" fontId="5" numFmtId="0" xfId="0" applyBorder="1" applyFont="1"/>
    <xf borderId="12" fillId="0" fontId="5" numFmtId="0" xfId="0" applyBorder="1" applyFont="1"/>
    <xf borderId="2" fillId="4" fontId="8" numFmtId="0" xfId="0" applyAlignment="1" applyBorder="1" applyFont="1">
      <alignment horizontal="left"/>
    </xf>
    <xf borderId="13" fillId="0" fontId="5" numFmtId="0" xfId="0" applyBorder="1" applyFont="1"/>
    <xf borderId="14" fillId="4" fontId="8" numFmtId="0" xfId="0" applyAlignment="1" applyBorder="1" applyFont="1">
      <alignment horizontal="center"/>
    </xf>
    <xf borderId="15" fillId="4" fontId="8" numFmtId="0" xfId="0" applyAlignment="1" applyBorder="1" applyFont="1">
      <alignment horizontal="center"/>
    </xf>
    <xf borderId="16" fillId="5" fontId="8" numFmtId="0" xfId="0" applyAlignment="1" applyBorder="1" applyFill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9" fillId="5" fontId="9" numFmtId="0" xfId="0" applyAlignment="1" applyBorder="1" applyFont="1">
      <alignment horizontal="left"/>
    </xf>
    <xf borderId="20" fillId="0" fontId="5" numFmtId="0" xfId="0" applyBorder="1" applyFont="1"/>
    <xf borderId="21" fillId="5" fontId="9" numFmtId="0" xfId="0" applyAlignment="1" applyBorder="1" applyFont="1">
      <alignment horizontal="center"/>
    </xf>
    <xf borderId="7" fillId="5" fontId="10" numFmtId="164" xfId="0" applyAlignment="1" applyBorder="1" applyFont="1" applyNumberFormat="1">
      <alignment horizontal="center" readingOrder="0"/>
    </xf>
    <xf borderId="22" fillId="5" fontId="9" numFmtId="0" xfId="0" applyAlignment="1" applyBorder="1" applyFont="1">
      <alignment horizontal="left"/>
    </xf>
    <xf borderId="23" fillId="0" fontId="5" numFmtId="0" xfId="0" applyBorder="1" applyFont="1"/>
    <xf borderId="24" fillId="5" fontId="9" numFmtId="0" xfId="0" applyAlignment="1" applyBorder="1" applyFont="1">
      <alignment horizontal="center"/>
    </xf>
    <xf borderId="9" fillId="5" fontId="10" numFmtId="164" xfId="0" applyAlignment="1" applyBorder="1" applyFont="1" applyNumberFormat="1">
      <alignment horizontal="center" readingOrder="0"/>
    </xf>
    <xf borderId="25" fillId="0" fontId="5" numFmtId="0" xfId="0" applyBorder="1" applyFont="1"/>
    <xf borderId="4" fillId="4" fontId="8" numFmtId="0" xfId="0" applyBorder="1" applyFont="1"/>
    <xf borderId="26" fillId="4" fontId="8" numFmtId="0" xfId="0" applyAlignment="1" applyBorder="1" applyFont="1">
      <alignment horizontal="center"/>
    </xf>
    <xf borderId="27" fillId="4" fontId="8" numFmtId="0" xfId="0" applyAlignment="1" applyBorder="1" applyFont="1">
      <alignment horizontal="center"/>
    </xf>
    <xf borderId="6" fillId="0" fontId="9" numFmtId="0" xfId="0" applyBorder="1" applyFont="1"/>
    <xf borderId="21" fillId="0" fontId="9" numFmtId="0" xfId="0" applyAlignment="1" applyBorder="1" applyFont="1">
      <alignment horizontal="center"/>
    </xf>
    <xf borderId="21" fillId="0" fontId="11" numFmtId="165" xfId="0" applyAlignment="1" applyBorder="1" applyFont="1" applyNumberFormat="1">
      <alignment horizontal="center" readingOrder="0"/>
    </xf>
    <xf borderId="7" fillId="0" fontId="12" numFmtId="165" xfId="0" applyAlignment="1" applyBorder="1" applyFont="1" applyNumberFormat="1">
      <alignment horizontal="center" readingOrder="0"/>
    </xf>
    <xf borderId="6" fillId="0" fontId="11" numFmtId="0" xfId="0" applyAlignment="1" applyBorder="1" applyFont="1">
      <alignment readingOrder="0"/>
    </xf>
    <xf borderId="21" fillId="0" fontId="9" numFmtId="165" xfId="0" applyAlignment="1" applyBorder="1" applyFont="1" applyNumberFormat="1">
      <alignment horizontal="center"/>
    </xf>
    <xf borderId="7" fillId="0" fontId="8" numFmtId="165" xfId="0" applyAlignment="1" applyBorder="1" applyFont="1" applyNumberFormat="1">
      <alignment horizontal="center"/>
    </xf>
    <xf borderId="8" fillId="0" fontId="9" numFmtId="0" xfId="0" applyBorder="1" applyFont="1"/>
    <xf borderId="24" fillId="0" fontId="9" numFmtId="0" xfId="0" applyAlignment="1" applyBorder="1" applyFont="1">
      <alignment horizontal="center"/>
    </xf>
    <xf borderId="24" fillId="0" fontId="9" numFmtId="165" xfId="0" applyAlignment="1" applyBorder="1" applyFont="1" applyNumberFormat="1">
      <alignment horizontal="center"/>
    </xf>
    <xf borderId="9" fillId="0" fontId="8" numFmtId="165" xfId="0" applyAlignment="1" applyBorder="1" applyFont="1" applyNumberFormat="1">
      <alignment horizontal="center"/>
    </xf>
    <xf borderId="28" fillId="2" fontId="1" numFmtId="0" xfId="0" applyAlignment="1" applyBorder="1" applyFont="1">
      <alignment horizontal="center"/>
    </xf>
    <xf borderId="29" fillId="0" fontId="5" numFmtId="0" xfId="0" applyBorder="1" applyFont="1"/>
    <xf borderId="2" fillId="3" fontId="1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30" fillId="4" fontId="8" numFmtId="0" xfId="0" applyBorder="1" applyFont="1"/>
    <xf borderId="1" fillId="2" fontId="1" numFmtId="4" xfId="0" applyAlignment="1" applyBorder="1" applyFont="1" applyNumberFormat="1">
      <alignment horizontal="center"/>
    </xf>
    <xf borderId="21" fillId="0" fontId="9" numFmtId="4" xfId="0" applyAlignment="1" applyBorder="1" applyFont="1" applyNumberFormat="1">
      <alignment horizontal="center"/>
    </xf>
    <xf borderId="7" fillId="0" fontId="9" numFmtId="4" xfId="0" applyAlignment="1" applyBorder="1" applyFont="1" applyNumberFormat="1">
      <alignment horizontal="center"/>
    </xf>
    <xf borderId="31" fillId="0" fontId="9" numFmtId="0" xfId="0" applyBorder="1" applyFont="1"/>
    <xf borderId="32" fillId="0" fontId="9" numFmtId="0" xfId="0" applyAlignment="1" applyBorder="1" applyFont="1">
      <alignment horizontal="center"/>
    </xf>
    <xf borderId="32" fillId="0" fontId="9" numFmtId="14" xfId="0" applyAlignment="1" applyBorder="1" applyFont="1" applyNumberFormat="1">
      <alignment horizontal="center"/>
    </xf>
    <xf borderId="5" fillId="0" fontId="9" numFmtId="14" xfId="0" applyAlignment="1" applyBorder="1" applyFont="1" applyNumberFormat="1">
      <alignment horizontal="center"/>
    </xf>
    <xf borderId="21" fillId="0" fontId="9" numFmtId="3" xfId="0" applyAlignment="1" applyBorder="1" applyFont="1" applyNumberFormat="1">
      <alignment horizontal="center"/>
    </xf>
    <xf borderId="7" fillId="0" fontId="9" numFmtId="3" xfId="0" applyAlignment="1" applyBorder="1" applyFont="1" applyNumberFormat="1">
      <alignment horizontal="center"/>
    </xf>
    <xf borderId="21" fillId="0" fontId="9" numFmtId="2" xfId="0" applyAlignment="1" applyBorder="1" applyFont="1" applyNumberFormat="1">
      <alignment horizontal="center"/>
    </xf>
    <xf borderId="7" fillId="0" fontId="9" numFmtId="2" xfId="0" applyAlignment="1" applyBorder="1" applyFont="1" applyNumberFormat="1">
      <alignment horizontal="center"/>
    </xf>
    <xf borderId="21" fillId="0" fontId="9" numFmtId="14" xfId="0" applyAlignment="1" applyBorder="1" applyFont="1" applyNumberFormat="1">
      <alignment horizontal="center"/>
    </xf>
    <xf borderId="7" fillId="0" fontId="9" numFmtId="14" xfId="0" applyAlignment="1" applyBorder="1" applyFont="1" applyNumberFormat="1">
      <alignment horizontal="center"/>
    </xf>
    <xf borderId="33" fillId="0" fontId="9" numFmtId="0" xfId="0" applyBorder="1" applyFont="1"/>
    <xf borderId="34" fillId="0" fontId="9" numFmtId="0" xfId="0" applyAlignment="1" applyBorder="1" applyFont="1">
      <alignment horizontal="center"/>
    </xf>
    <xf borderId="34" fillId="0" fontId="9" numFmtId="4" xfId="0" applyAlignment="1" applyBorder="1" applyFont="1" applyNumberFormat="1">
      <alignment horizontal="center"/>
    </xf>
    <xf borderId="35" fillId="0" fontId="9" numFmtId="4" xfId="0" applyAlignment="1" applyBorder="1" applyFont="1" applyNumberFormat="1">
      <alignment horizontal="center"/>
    </xf>
    <xf borderId="26" fillId="6" fontId="8" numFmtId="4" xfId="0" applyAlignment="1" applyBorder="1" applyFill="1" applyFont="1" applyNumberFormat="1">
      <alignment horizontal="center"/>
    </xf>
    <xf borderId="27" fillId="6" fontId="8" numFmtId="4" xfId="0" applyAlignment="1" applyBorder="1" applyFont="1" applyNumberFormat="1">
      <alignment horizontal="center"/>
    </xf>
    <xf borderId="21" fillId="6" fontId="8" numFmtId="4" xfId="0" applyAlignment="1" applyBorder="1" applyFont="1" applyNumberFormat="1">
      <alignment horizontal="center"/>
    </xf>
    <xf borderId="7" fillId="6" fontId="8" numFmtId="4" xfId="0" applyAlignment="1" applyBorder="1" applyFont="1" applyNumberFormat="1">
      <alignment horizontal="center"/>
    </xf>
    <xf borderId="21" fillId="6" fontId="8" numFmtId="9" xfId="0" applyAlignment="1" applyBorder="1" applyFont="1" applyNumberFormat="1">
      <alignment horizontal="center"/>
    </xf>
    <xf borderId="7" fillId="6" fontId="8" numFmtId="9" xfId="0" applyAlignment="1" applyBorder="1" applyFont="1" applyNumberFormat="1">
      <alignment horizontal="center"/>
    </xf>
    <xf borderId="21" fillId="6" fontId="8" numFmtId="0" xfId="0" applyAlignment="1" applyBorder="1" applyFont="1">
      <alignment horizontal="center"/>
    </xf>
    <xf borderId="7" fillId="6" fontId="8" numFmtId="0" xfId="0" applyAlignment="1" applyBorder="1" applyFont="1">
      <alignment horizontal="center"/>
    </xf>
    <xf borderId="21" fillId="6" fontId="8" numFmtId="166" xfId="0" applyAlignment="1" applyBorder="1" applyFont="1" applyNumberFormat="1">
      <alignment horizontal="center"/>
    </xf>
    <xf borderId="7" fillId="6" fontId="8" numFmtId="166" xfId="0" applyAlignment="1" applyBorder="1" applyFont="1" applyNumberFormat="1">
      <alignment horizontal="center"/>
    </xf>
    <xf borderId="24" fillId="0" fontId="14" numFmtId="0" xfId="0" applyBorder="1" applyFont="1"/>
    <xf borderId="24" fillId="6" fontId="8" numFmtId="4" xfId="0" applyAlignment="1" applyBorder="1" applyFont="1" applyNumberFormat="1">
      <alignment horizontal="center"/>
    </xf>
    <xf borderId="9" fillId="6" fontId="8" numFmtId="4" xfId="0" applyAlignment="1" applyBorder="1" applyFont="1" applyNumberFormat="1">
      <alignment horizontal="center"/>
    </xf>
    <xf borderId="1" fillId="2" fontId="1" numFmtId="3" xfId="0" applyBorder="1" applyFont="1" applyNumberFormat="1"/>
    <xf borderId="21" fillId="0" fontId="11" numFmtId="4" xfId="0" applyAlignment="1" applyBorder="1" applyFont="1" applyNumberFormat="1">
      <alignment horizontal="center" readingOrder="0"/>
    </xf>
    <xf borderId="7" fillId="0" fontId="11" numFmtId="4" xfId="0" applyAlignment="1" applyBorder="1" applyFont="1" applyNumberFormat="1">
      <alignment horizontal="center" readingOrder="0"/>
    </xf>
    <xf borderId="32" fillId="0" fontId="11" numFmtId="0" xfId="0" applyAlignment="1" applyBorder="1" applyFont="1">
      <alignment horizontal="center" readingOrder="0"/>
    </xf>
    <xf borderId="32" fillId="0" fontId="11" numFmtId="14" xfId="0" applyAlignment="1" applyBorder="1" applyFont="1" applyNumberFormat="1">
      <alignment horizontal="center" readingOrder="0"/>
    </xf>
    <xf borderId="5" fillId="0" fontId="11" numFmtId="14" xfId="0" applyAlignment="1" applyBorder="1" applyFont="1" applyNumberFormat="1">
      <alignment horizontal="center" readingOrder="0"/>
    </xf>
    <xf borderId="21" fillId="0" fontId="11" numFmtId="3" xfId="0" applyAlignment="1" applyBorder="1" applyFont="1" applyNumberFormat="1">
      <alignment horizontal="center" readingOrder="0"/>
    </xf>
    <xf borderId="7" fillId="0" fontId="11" numFmtId="3" xfId="0" applyAlignment="1" applyBorder="1" applyFont="1" applyNumberFormat="1">
      <alignment horizontal="center" readingOrder="0"/>
    </xf>
    <xf borderId="21" fillId="0" fontId="11" numFmtId="2" xfId="0" applyAlignment="1" applyBorder="1" applyFont="1" applyNumberFormat="1">
      <alignment horizontal="center" readingOrder="0"/>
    </xf>
    <xf borderId="7" fillId="0" fontId="11" numFmtId="2" xfId="0" applyAlignment="1" applyBorder="1" applyFont="1" applyNumberFormat="1">
      <alignment horizontal="center" readingOrder="0"/>
    </xf>
    <xf borderId="21" fillId="0" fontId="11" numFmtId="14" xfId="0" applyAlignment="1" applyBorder="1" applyFont="1" applyNumberFormat="1">
      <alignment horizontal="center" readingOrder="0"/>
    </xf>
    <xf borderId="7" fillId="0" fontId="11" numFmtId="14" xfId="0" applyAlignment="1" applyBorder="1" applyFont="1" applyNumberFormat="1">
      <alignment horizontal="center" readingOrder="0"/>
    </xf>
    <xf borderId="34" fillId="0" fontId="11" numFmtId="4" xfId="0" applyAlignment="1" applyBorder="1" applyFont="1" applyNumberFormat="1">
      <alignment horizontal="center" readingOrder="0"/>
    </xf>
    <xf borderId="35" fillId="0" fontId="11" numFmtId="4" xfId="0" applyAlignment="1" applyBorder="1" applyFont="1" applyNumberFormat="1">
      <alignment horizontal="center" readingOrder="0"/>
    </xf>
    <xf borderId="21" fillId="0" fontId="11" numFmtId="0" xfId="0" applyAlignment="1" applyBorder="1" applyFont="1">
      <alignment horizontal="center" readingOrder="0"/>
    </xf>
    <xf borderId="21" fillId="6" fontId="8" numFmtId="2" xfId="0" applyAlignment="1" applyBorder="1" applyFont="1" applyNumberFormat="1">
      <alignment horizontal="center"/>
    </xf>
    <xf borderId="7" fillId="6" fontId="8" numFmtId="2" xfId="0" applyAlignment="1" applyBorder="1" applyFont="1" applyNumberFormat="1">
      <alignment horizontal="center"/>
    </xf>
    <xf borderId="2" fillId="3" fontId="13" numFmtId="0" xfId="0" applyAlignment="1" applyBorder="1" applyFont="1">
      <alignment horizontal="left"/>
    </xf>
    <xf borderId="36" fillId="0" fontId="8" numFmtId="0" xfId="0" applyBorder="1" applyFont="1"/>
    <xf borderId="37" fillId="0" fontId="8" numFmtId="0" xfId="0" applyAlignment="1" applyBorder="1" applyFont="1">
      <alignment horizontal="center"/>
    </xf>
    <xf borderId="38" fillId="0" fontId="8" numFmtId="0" xfId="0" applyAlignment="1" applyBorder="1" applyFont="1">
      <alignment horizontal="center"/>
    </xf>
    <xf borderId="36" fillId="0" fontId="9" numFmtId="0" xfId="0" applyBorder="1" applyFont="1"/>
    <xf borderId="37" fillId="0" fontId="9" numFmtId="0" xfId="0" applyAlignment="1" applyBorder="1" applyFont="1">
      <alignment horizontal="center"/>
    </xf>
    <xf borderId="37" fillId="0" fontId="11" numFmtId="0" xfId="0" applyAlignment="1" applyBorder="1" applyFont="1">
      <alignment horizontal="center" readingOrder="0"/>
    </xf>
    <xf borderId="37" fillId="0" fontId="11" numFmtId="165" xfId="0" applyAlignment="1" applyBorder="1" applyFont="1" applyNumberFormat="1">
      <alignment horizontal="center" readingOrder="0"/>
    </xf>
    <xf borderId="39" fillId="6" fontId="8" numFmtId="165" xfId="0" applyAlignment="1" applyBorder="1" applyFont="1" applyNumberFormat="1">
      <alignment horizontal="center"/>
    </xf>
    <xf borderId="7" fillId="6" fontId="8" numFmtId="165" xfId="0" applyAlignment="1" applyBorder="1" applyFont="1" applyNumberFormat="1">
      <alignment horizontal="center"/>
    </xf>
    <xf borderId="30" fillId="4" fontId="8" numFmtId="0" xfId="0" applyAlignment="1" applyBorder="1" applyFont="1">
      <alignment horizontal="left"/>
    </xf>
    <xf borderId="31" fillId="0" fontId="9" numFmtId="0" xfId="0" applyAlignment="1" applyBorder="1" applyFont="1">
      <alignment horizontal="left"/>
    </xf>
    <xf borderId="26" fillId="6" fontId="8" numFmtId="0" xfId="0" applyAlignment="1" applyBorder="1" applyFont="1">
      <alignment horizontal="center"/>
    </xf>
    <xf borderId="32" fillId="0" fontId="11" numFmtId="165" xfId="0" applyAlignment="1" applyBorder="1" applyFont="1" applyNumberFormat="1">
      <alignment horizontal="center" readingOrder="0"/>
    </xf>
    <xf borderId="27" fillId="6" fontId="8" numFmtId="165" xfId="0" applyAlignment="1" applyBorder="1" applyFont="1" applyNumberFormat="1">
      <alignment horizontal="center"/>
    </xf>
    <xf borderId="6" fillId="0" fontId="9" numFmtId="0" xfId="0" applyAlignment="1" applyBorder="1" applyFont="1">
      <alignment horizontal="left"/>
    </xf>
    <xf borderId="33" fillId="0" fontId="9" numFmtId="0" xfId="0" applyAlignment="1" applyBorder="1" applyFont="1">
      <alignment horizontal="left"/>
    </xf>
    <xf borderId="34" fillId="0" fontId="11" numFmtId="0" xfId="0" applyAlignment="1" applyBorder="1" applyFont="1">
      <alignment horizontal="center" readingOrder="0"/>
    </xf>
    <xf borderId="34" fillId="0" fontId="11" numFmtId="165" xfId="0" applyAlignment="1" applyBorder="1" applyFont="1" applyNumberFormat="1">
      <alignment horizontal="center" readingOrder="0"/>
    </xf>
    <xf borderId="40" fillId="6" fontId="8" numFmtId="0" xfId="0" applyAlignment="1" applyBorder="1" applyFont="1">
      <alignment horizontal="center"/>
    </xf>
    <xf borderId="41" fillId="6" fontId="8" numFmtId="165" xfId="0" applyAlignment="1" applyBorder="1" applyFont="1" applyNumberFormat="1">
      <alignment horizontal="center"/>
    </xf>
    <xf borderId="5" fillId="0" fontId="9" numFmtId="0" xfId="0" applyAlignment="1" applyBorder="1" applyFont="1">
      <alignment horizontal="center" readingOrder="0"/>
    </xf>
    <xf borderId="1" fillId="2" fontId="1" numFmtId="165" xfId="0" applyAlignment="1" applyBorder="1" applyFont="1" applyNumberFormat="1">
      <alignment horizontal="center"/>
    </xf>
    <xf borderId="7" fillId="0" fontId="9" numFmtId="0" xfId="0" applyAlignment="1" applyBorder="1" applyFont="1">
      <alignment horizontal="center" readingOrder="0"/>
    </xf>
    <xf borderId="35" fillId="0" fontId="9" numFmtId="0" xfId="0" applyAlignment="1" applyBorder="1" applyFont="1">
      <alignment horizontal="center" readingOrder="0"/>
    </xf>
    <xf borderId="2" fillId="3" fontId="13" numFmtId="0" xfId="0" applyBorder="1" applyFont="1"/>
    <xf borderId="7" fillId="0" fontId="11" numFmtId="0" xfId="0" applyAlignment="1" applyBorder="1" applyFont="1">
      <alignment horizontal="center" readingOrder="0"/>
    </xf>
    <xf borderId="6" fillId="0" fontId="11" numFmtId="0" xfId="0" applyAlignment="1" applyBorder="1" applyFont="1">
      <alignment horizontal="left" readingOrder="0"/>
    </xf>
    <xf borderId="2" fillId="7" fontId="8" numFmtId="0" xfId="0" applyAlignment="1" applyBorder="1" applyFill="1" applyFont="1">
      <alignment horizontal="left"/>
    </xf>
    <xf quotePrefix="1" borderId="1" fillId="2" fontId="1" numFmtId="0" xfId="0" applyBorder="1" applyFont="1"/>
    <xf borderId="31" fillId="0" fontId="11" numFmtId="0" xfId="0" applyAlignment="1" applyBorder="1" applyFont="1">
      <alignment readingOrder="0"/>
    </xf>
    <xf borderId="42" fillId="6" fontId="8" numFmtId="165" xfId="0" applyAlignment="1" applyBorder="1" applyFont="1" applyNumberFormat="1">
      <alignment horizontal="center"/>
    </xf>
    <xf borderId="35" fillId="0" fontId="11" numFmtId="0" xfId="0" applyAlignment="1" applyBorder="1" applyFont="1">
      <alignment horizontal="center" readingOrder="0"/>
    </xf>
    <xf borderId="33" fillId="0" fontId="11" numFmtId="0" xfId="0" applyAlignment="1" applyBorder="1" applyFont="1">
      <alignment readingOrder="0"/>
    </xf>
    <xf borderId="1" fillId="2" fontId="1" numFmtId="165" xfId="0" applyBorder="1" applyFont="1" applyNumberFormat="1"/>
    <xf borderId="2" fillId="4" fontId="12" numFmtId="0" xfId="0" applyAlignment="1" applyBorder="1" applyFont="1">
      <alignment horizontal="left" readingOrder="0"/>
    </xf>
    <xf borderId="24" fillId="0" fontId="11" numFmtId="0" xfId="0" applyAlignment="1" applyBorder="1" applyFont="1">
      <alignment horizontal="center" readingOrder="0"/>
    </xf>
    <xf borderId="24" fillId="0" fontId="11" numFmtId="165" xfId="0" applyAlignment="1" applyBorder="1" applyFont="1" applyNumberFormat="1">
      <alignment horizontal="center" readingOrder="0"/>
    </xf>
    <xf borderId="43" fillId="6" fontId="8" numFmtId="165" xfId="0" applyAlignment="1" applyBorder="1" applyFont="1" applyNumberFormat="1">
      <alignment horizontal="center"/>
    </xf>
    <xf borderId="1" fillId="2" fontId="0" numFmtId="0" xfId="0" applyBorder="1" applyFont="1"/>
    <xf borderId="2" fillId="3" fontId="4" numFmtId="0" xfId="0" applyAlignment="1" applyBorder="1" applyFont="1">
      <alignment horizontal="left"/>
    </xf>
    <xf borderId="2" fillId="6" fontId="4" numFmtId="165" xfId="0" applyAlignment="1" applyBorder="1" applyFont="1" applyNumberFormat="1">
      <alignment horizontal="center"/>
    </xf>
    <xf borderId="8" fillId="0" fontId="9" numFmtId="0" xfId="0" applyAlignment="1" applyBorder="1" applyFont="1">
      <alignment horizontal="left"/>
    </xf>
    <xf borderId="9" fillId="0" fontId="11" numFmtId="0" xfId="0" applyAlignment="1" applyBorder="1" applyFont="1">
      <alignment horizontal="center" readingOrder="0"/>
    </xf>
    <xf borderId="1" fillId="2" fontId="0" numFmtId="0" xfId="0" applyAlignment="1" applyBorder="1" applyFont="1">
      <alignment horizontal="center"/>
    </xf>
    <xf borderId="15" fillId="6" fontId="13" numFmtId="165" xfId="0" applyAlignment="1" applyBorder="1" applyFont="1" applyNumberFormat="1">
      <alignment horizontal="center"/>
    </xf>
    <xf borderId="44" fillId="3" fontId="13" numFmtId="0" xfId="0" applyBorder="1" applyFont="1"/>
    <xf borderId="45" fillId="3" fontId="13" numFmtId="0" xfId="0" applyAlignment="1" applyBorder="1" applyFont="1">
      <alignment horizontal="center"/>
    </xf>
    <xf borderId="39" fillId="3" fontId="13" numFmtId="0" xfId="0" applyAlignment="1" applyBorder="1" applyFont="1">
      <alignment horizontal="center"/>
    </xf>
    <xf borderId="46" fillId="2" fontId="15" numFmtId="0" xfId="0" applyAlignment="1" applyBorder="1" applyFont="1">
      <alignment horizontal="center" textRotation="90" vertical="center"/>
    </xf>
    <xf borderId="47" fillId="0" fontId="9" numFmtId="0" xfId="0" applyBorder="1" applyFont="1"/>
    <xf borderId="48" fillId="0" fontId="9" numFmtId="0" xfId="0" applyAlignment="1" applyBorder="1" applyFont="1">
      <alignment horizontal="center"/>
    </xf>
    <xf borderId="49" fillId="0" fontId="5" numFmtId="0" xfId="0" applyBorder="1" applyFont="1"/>
    <xf borderId="50" fillId="0" fontId="5" numFmtId="0" xfId="0" applyBorder="1" applyFont="1"/>
    <xf borderId="1" fillId="2" fontId="15" numFmtId="0" xfId="0" applyAlignment="1" applyBorder="1" applyFont="1">
      <alignment horizontal="center" textRotation="90" vertical="center"/>
    </xf>
    <xf borderId="1" fillId="2" fontId="0" numFmtId="0" xfId="0" applyAlignment="1" applyBorder="1" applyFont="1">
      <alignment horizontal="center" textRotation="90" vertical="center"/>
    </xf>
    <xf borderId="24" fillId="6" fontId="8" numFmtId="0" xfId="0" applyAlignment="1" applyBorder="1" applyFont="1">
      <alignment horizontal="center"/>
    </xf>
    <xf borderId="9" fillId="6" fontId="8" numFmtId="165" xfId="0" applyAlignment="1" applyBorder="1" applyFont="1" applyNumberFormat="1">
      <alignment horizontal="center"/>
    </xf>
    <xf borderId="40" fillId="6" fontId="8" numFmtId="4" xfId="0" applyAlignment="1" applyBorder="1" applyFont="1" applyNumberFormat="1">
      <alignment horizontal="center"/>
    </xf>
    <xf borderId="34" fillId="0" fontId="9" numFmtId="165" xfId="0" applyAlignment="1" applyBorder="1" applyFont="1" applyNumberFormat="1">
      <alignment horizontal="center"/>
    </xf>
    <xf borderId="32" fillId="0" fontId="9" numFmtId="165" xfId="0" applyAlignment="1" applyBorder="1" applyFont="1" applyNumberFormat="1">
      <alignment horizontal="center"/>
    </xf>
    <xf borderId="21" fillId="0" fontId="9" numFmtId="164" xfId="0" applyAlignment="1" applyBorder="1" applyFont="1" applyNumberFormat="1">
      <alignment horizontal="center"/>
    </xf>
    <xf borderId="21" fillId="8" fontId="9" numFmtId="165" xfId="0" applyAlignment="1" applyBorder="1" applyFill="1" applyFont="1" applyNumberFormat="1">
      <alignment horizontal="center"/>
    </xf>
    <xf borderId="1" fillId="2" fontId="8" numFmtId="165" xfId="0" applyAlignment="1" applyBorder="1" applyFont="1" applyNumberFormat="1">
      <alignment horizontal="center"/>
    </xf>
    <xf borderId="34" fillId="0" fontId="11" numFmtId="9" xfId="0" applyAlignment="1" applyBorder="1" applyFont="1" applyNumberFormat="1">
      <alignment horizontal="center" readingOrder="0"/>
    </xf>
    <xf borderId="32" fillId="0" fontId="11" numFmtId="4" xfId="0" applyAlignment="1" applyBorder="1" applyFont="1" applyNumberFormat="1">
      <alignment horizontal="center" readingOrder="0"/>
    </xf>
    <xf borderId="24" fillId="0" fontId="16" numFmtId="0" xfId="0" applyAlignment="1" applyBorder="1" applyFont="1">
      <alignment horizontal="center" readingOrder="0"/>
    </xf>
    <xf borderId="51" fillId="0" fontId="5" numFmtId="0" xfId="0" applyBorder="1" applyFont="1"/>
    <xf borderId="15" fillId="6" fontId="4" numFmtId="165" xfId="0" applyAlignment="1" applyBorder="1" applyFont="1" applyNumberFormat="1">
      <alignment horizontal="center"/>
    </xf>
    <xf borderId="1" fillId="2" fontId="4" numFmtId="0" xfId="0" applyAlignment="1" applyBorder="1" applyFont="1">
      <alignment horizontal="center"/>
    </xf>
    <xf borderId="52" fillId="4" fontId="8" numFmtId="165" xfId="0" applyAlignment="1" applyBorder="1" applyFont="1" applyNumberFormat="1">
      <alignment horizontal="center"/>
    </xf>
    <xf borderId="53" fillId="0" fontId="9" numFmtId="0" xfId="0" applyAlignment="1" applyBorder="1" applyFont="1">
      <alignment horizontal="left"/>
    </xf>
    <xf borderId="54" fillId="0" fontId="5" numFmtId="0" xfId="0" applyBorder="1" applyFont="1"/>
    <xf borderId="55" fillId="6" fontId="8" numFmtId="165" xfId="0" applyAlignment="1" applyBorder="1" applyFont="1" applyNumberFormat="1">
      <alignment horizontal="center"/>
    </xf>
    <xf borderId="56" fillId="0" fontId="5" numFmtId="0" xfId="0" applyBorder="1" applyFont="1"/>
    <xf borderId="1" fillId="2" fontId="9" numFmtId="165" xfId="0" applyAlignment="1" applyBorder="1" applyFont="1" applyNumberFormat="1">
      <alignment horizontal="center"/>
    </xf>
    <xf borderId="19" fillId="0" fontId="9" numFmtId="0" xfId="0" applyAlignment="1" applyBorder="1" applyFont="1">
      <alignment horizontal="left"/>
    </xf>
    <xf borderId="57" fillId="6" fontId="8" numFmtId="165" xfId="0" applyAlignment="1" applyBorder="1" applyFont="1" applyNumberFormat="1">
      <alignment horizontal="center"/>
    </xf>
    <xf borderId="58" fillId="0" fontId="5" numFmtId="0" xfId="0" applyBorder="1" applyFont="1"/>
    <xf borderId="59" fillId="0" fontId="9" numFmtId="0" xfId="0" applyAlignment="1" applyBorder="1" applyFont="1">
      <alignment horizontal="left"/>
    </xf>
    <xf borderId="60" fillId="0" fontId="5" numFmtId="0" xfId="0" applyBorder="1" applyFont="1"/>
    <xf borderId="61" fillId="6" fontId="8" numFmtId="165" xfId="0" applyAlignment="1" applyBorder="1" applyFont="1" applyNumberFormat="1">
      <alignment horizontal="center"/>
    </xf>
    <xf borderId="62" fillId="0" fontId="5" numFmtId="0" xfId="0" applyBorder="1" applyFont="1"/>
    <xf borderId="1" fillId="2" fontId="1" numFmtId="166" xfId="0" applyBorder="1" applyFont="1" applyNumberFormat="1"/>
    <xf borderId="53" fillId="0" fontId="0" numFmtId="0" xfId="0" applyAlignment="1" applyBorder="1" applyFont="1">
      <alignment horizontal="left"/>
    </xf>
    <xf borderId="1" fillId="2" fontId="0" numFmtId="165" xfId="0" applyAlignment="1" applyBorder="1" applyFont="1" applyNumberFormat="1">
      <alignment horizontal="center"/>
    </xf>
    <xf borderId="59" fillId="0" fontId="0" numFmtId="0" xfId="0" applyAlignment="1" applyBorder="1" applyFont="1">
      <alignment horizontal="left"/>
    </xf>
    <xf borderId="31" fillId="0" fontId="0" numFmtId="0" xfId="0" applyAlignment="1" applyBorder="1" applyFont="1">
      <alignment horizontal="center"/>
    </xf>
    <xf borderId="32" fillId="0" fontId="15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63" fillId="0" fontId="9" numFmtId="165" xfId="0" applyAlignment="1" applyBorder="1" applyFont="1" applyNumberFormat="1">
      <alignment horizontal="center"/>
    </xf>
    <xf borderId="64" fillId="0" fontId="5" numFmtId="0" xfId="0" applyBorder="1" applyFont="1"/>
    <xf borderId="63" fillId="0" fontId="8" numFmtId="165" xfId="0" applyAlignment="1" applyBorder="1" applyFont="1" applyNumberFormat="1">
      <alignment horizontal="center" readingOrder="0"/>
    </xf>
    <xf borderId="57" fillId="0" fontId="8" numFmtId="165" xfId="0" applyAlignment="1" applyBorder="1" applyFont="1" applyNumberFormat="1">
      <alignment horizontal="center"/>
    </xf>
    <xf borderId="30" fillId="3" fontId="13" numFmtId="0" xfId="0" applyBorder="1" applyFont="1"/>
    <xf borderId="65" fillId="0" fontId="8" numFmtId="165" xfId="0" applyAlignment="1" applyBorder="1" applyFont="1" applyNumberFormat="1">
      <alignment horizontal="center"/>
    </xf>
    <xf borderId="66" fillId="0" fontId="5" numFmtId="0" xfId="0" applyBorder="1" applyFont="1"/>
    <xf borderId="14" fillId="3" fontId="13" numFmtId="0" xfId="0" applyAlignment="1" applyBorder="1" applyFont="1">
      <alignment horizontal="center"/>
    </xf>
    <xf borderId="15" fillId="3" fontId="13" numFmtId="0" xfId="0" applyAlignment="1" applyBorder="1" applyFont="1">
      <alignment horizontal="center"/>
    </xf>
    <xf borderId="2" fillId="4" fontId="8" numFmtId="165" xfId="0" applyAlignment="1" applyBorder="1" applyFont="1" applyNumberFormat="1">
      <alignment horizontal="left"/>
    </xf>
    <xf borderId="67" fillId="3" fontId="13" numFmtId="0" xfId="0" applyAlignment="1" applyBorder="1" applyFont="1">
      <alignment horizontal="center"/>
    </xf>
    <xf borderId="68" fillId="4" fontId="8" numFmtId="0" xfId="0" applyAlignment="1" applyBorder="1" applyFont="1">
      <alignment horizontal="center"/>
    </xf>
    <xf borderId="69" fillId="4" fontId="8" numFmtId="0" xfId="0" applyAlignment="1" applyBorder="1" applyFont="1">
      <alignment horizontal="center"/>
    </xf>
    <xf borderId="53" fillId="0" fontId="9" numFmtId="165" xfId="0" applyAlignment="1" applyBorder="1" applyFont="1" applyNumberFormat="1">
      <alignment horizontal="left"/>
    </xf>
    <xf borderId="21" fillId="6" fontId="8" numFmtId="165" xfId="0" applyAlignment="1" applyBorder="1" applyFont="1" applyNumberFormat="1">
      <alignment horizontal="center"/>
    </xf>
    <xf borderId="70" fillId="6" fontId="8" numFmtId="165" xfId="0" applyAlignment="1" applyBorder="1" applyFont="1" applyNumberFormat="1">
      <alignment horizontal="center"/>
    </xf>
    <xf borderId="71" fillId="6" fontId="8" numFmtId="165" xfId="0" applyAlignment="1" applyBorder="1" applyFont="1" applyNumberFormat="1">
      <alignment horizontal="center"/>
    </xf>
    <xf borderId="19" fillId="0" fontId="9" numFmtId="165" xfId="0" applyAlignment="1" applyBorder="1" applyFont="1" applyNumberFormat="1">
      <alignment horizontal="left"/>
    </xf>
    <xf borderId="22" fillId="0" fontId="9" numFmtId="165" xfId="0" applyAlignment="1" applyBorder="1" applyFont="1" applyNumberFormat="1">
      <alignment horizontal="left"/>
    </xf>
    <xf borderId="72" fillId="0" fontId="8" numFmtId="165" xfId="0" applyAlignment="1" applyBorder="1" applyFont="1" applyNumberFormat="1">
      <alignment horizontal="center"/>
    </xf>
    <xf borderId="73" fillId="0" fontId="5" numFmtId="0" xfId="0" applyBorder="1" applyFont="1"/>
    <xf borderId="74" fillId="3" fontId="4" numFmtId="0" xfId="0" applyBorder="1" applyFont="1"/>
    <xf borderId="6" fillId="4" fontId="9" numFmtId="0" xfId="0" applyBorder="1" applyFont="1"/>
    <xf borderId="75" fillId="6" fontId="8" numFmtId="165" xfId="0" applyAlignment="1" applyBorder="1" applyFont="1" applyNumberFormat="1">
      <alignment horizontal="center"/>
    </xf>
    <xf borderId="26" fillId="6" fontId="11" numFmtId="165" xfId="0" applyAlignment="1" applyBorder="1" applyFont="1" applyNumberFormat="1">
      <alignment horizontal="center" readingOrder="0"/>
    </xf>
    <xf borderId="21" fillId="6" fontId="11" numFmtId="165" xfId="0" applyAlignment="1" applyBorder="1" applyFont="1" applyNumberFormat="1">
      <alignment horizontal="center" readingOrder="0"/>
    </xf>
    <xf borderId="22" fillId="0" fontId="8" numFmtId="0" xfId="0" applyAlignment="1" applyBorder="1" applyFont="1">
      <alignment horizontal="left"/>
    </xf>
    <xf borderId="76" fillId="0" fontId="5" numFmtId="0" xfId="0" applyBorder="1" applyFont="1"/>
    <xf borderId="21" fillId="2" fontId="1" numFmtId="0" xfId="0" applyBorder="1" applyFont="1"/>
    <xf borderId="21" fillId="2" fontId="1" numFmtId="165" xfId="0" applyBorder="1" applyFont="1" applyNumberFormat="1"/>
    <xf borderId="21" fillId="2" fontId="1" numFmtId="9" xfId="0" applyAlignment="1" applyBorder="1" applyFont="1" applyNumberFormat="1">
      <alignment horizontal="center"/>
    </xf>
    <xf borderId="1" fillId="2" fontId="1" numFmtId="9" xfId="0" applyBorder="1" applyFont="1" applyNumberFormat="1"/>
    <xf borderId="1" fillId="2" fontId="1" numFmtId="9" xfId="0" applyAlignment="1" applyBorder="1" applyFont="1" applyNumberFormat="1">
      <alignment horizontal="center"/>
    </xf>
    <xf borderId="21" fillId="2" fontId="17" numFmtId="0" xfId="0" applyAlignment="1" applyBorder="1" applyFont="1">
      <alignment horizontal="left"/>
    </xf>
    <xf borderId="21" fillId="2" fontId="17" numFmtId="2" xfId="0" applyAlignment="1" applyBorder="1" applyFont="1" applyNumberFormat="1">
      <alignment horizontal="center" shrinkToFit="0" wrapText="1"/>
    </xf>
    <xf borderId="21" fillId="2" fontId="17" numFmtId="2" xfId="0" applyAlignment="1" applyBorder="1" applyFont="1" applyNumberFormat="1">
      <alignment horizontal="center"/>
    </xf>
    <xf borderId="21" fillId="2" fontId="17" numFmtId="0" xfId="0" applyAlignment="1" applyBorder="1" applyFont="1">
      <alignment horizontal="center" shrinkToFit="0" wrapText="1"/>
    </xf>
    <xf borderId="57" fillId="2" fontId="18" numFmtId="0" xfId="0" applyAlignment="1" applyBorder="1" applyFont="1">
      <alignment horizontal="center"/>
    </xf>
    <xf borderId="21" fillId="2" fontId="18" numFmtId="0" xfId="0" applyAlignment="1" applyBorder="1" applyFont="1">
      <alignment horizontal="center"/>
    </xf>
    <xf borderId="77" fillId="0" fontId="5" numFmtId="0" xfId="0" applyBorder="1" applyFont="1"/>
    <xf borderId="21" fillId="2" fontId="18" numFmtId="0" xfId="0" applyAlignment="1" applyBorder="1" applyFont="1">
      <alignment horizontal="center" shrinkToFit="0" vertical="center" wrapText="1"/>
    </xf>
    <xf borderId="21" fillId="2" fontId="18" numFmtId="2" xfId="0" applyAlignment="1" applyBorder="1" applyFont="1" applyNumberFormat="1">
      <alignment horizontal="center" shrinkToFit="0" vertical="center" wrapText="1"/>
    </xf>
    <xf borderId="21" fillId="2" fontId="1" numFmtId="0" xfId="0" applyAlignment="1" applyBorder="1" applyFont="1">
      <alignment horizontal="center"/>
    </xf>
    <xf borderId="21" fillId="2" fontId="17" numFmtId="167" xfId="0" applyAlignment="1" applyBorder="1" applyFont="1" applyNumberFormat="1">
      <alignment horizontal="center" shrinkToFit="0" wrapText="1"/>
    </xf>
    <xf borderId="21" fillId="2" fontId="17" numFmtId="168" xfId="0" applyAlignment="1" applyBorder="1" applyFont="1" applyNumberFormat="1">
      <alignment horizontal="center" shrinkToFit="0" wrapText="1"/>
    </xf>
    <xf borderId="21" fillId="2" fontId="17" numFmtId="9" xfId="0" applyAlignment="1" applyBorder="1" applyFont="1" applyNumberFormat="1">
      <alignment horizontal="center"/>
    </xf>
    <xf borderId="21" fillId="2" fontId="17" numFmtId="168" xfId="0" applyBorder="1" applyFont="1" applyNumberFormat="1"/>
    <xf borderId="21" fillId="2" fontId="17" numFmtId="0" xfId="0" applyAlignment="1" applyBorder="1" applyFont="1">
      <alignment horizontal="center"/>
    </xf>
    <xf borderId="1" fillId="2" fontId="1" numFmtId="168" xfId="0" applyBorder="1" applyFont="1" applyNumberFormat="1"/>
    <xf borderId="21" fillId="2" fontId="17" numFmtId="165" xfId="0" applyBorder="1" applyFont="1" applyNumberFormat="1"/>
    <xf borderId="21" fillId="0" fontId="9" numFmtId="0" xfId="0" applyAlignment="1" applyBorder="1" applyFont="1">
      <alignment horizontal="left"/>
    </xf>
    <xf borderId="1" fillId="2" fontId="0" numFmtId="2" xfId="0" applyAlignment="1" applyBorder="1" applyFont="1" applyNumberFormat="1">
      <alignment horizontal="center" shrinkToFit="0" wrapText="1"/>
    </xf>
    <xf borderId="1" fillId="2" fontId="0" numFmtId="2" xfId="0" applyAlignment="1" applyBorder="1" applyFont="1" applyNumberFormat="1">
      <alignment horizontal="center"/>
    </xf>
    <xf borderId="1" fillId="2" fontId="0" numFmtId="0" xfId="0" applyAlignment="1" applyBorder="1" applyFont="1">
      <alignment horizontal="center" shrinkToFit="0" wrapText="1"/>
    </xf>
    <xf borderId="57" fillId="2" fontId="13" numFmtId="0" xfId="0" applyAlignment="1" applyBorder="1" applyFont="1">
      <alignment horizontal="center"/>
    </xf>
    <xf borderId="21" fillId="2" fontId="13" numFmtId="0" xfId="0" applyAlignment="1" applyBorder="1" applyFont="1">
      <alignment horizontal="center"/>
    </xf>
    <xf borderId="21" fillId="2" fontId="13" numFmtId="0" xfId="0" applyAlignment="1" applyBorder="1" applyFont="1">
      <alignment horizontal="center" vertical="center"/>
    </xf>
    <xf borderId="21" fillId="2" fontId="13" numFmtId="2" xfId="0" applyAlignment="1" applyBorder="1" applyFont="1" applyNumberFormat="1">
      <alignment horizontal="center" shrinkToFit="0" vertical="center" wrapText="1"/>
    </xf>
    <xf borderId="21" fillId="2" fontId="13" numFmtId="2" xfId="0" applyAlignment="1" applyBorder="1" applyFont="1" applyNumberFormat="1">
      <alignment horizontal="center" vertical="center"/>
    </xf>
    <xf borderId="21" fillId="2" fontId="13" numFmtId="0" xfId="0" applyAlignment="1" applyBorder="1" applyFont="1">
      <alignment horizontal="center" shrinkToFit="0" vertical="center" wrapText="1"/>
    </xf>
    <xf borderId="21" fillId="2" fontId="0" numFmtId="168" xfId="0" applyAlignment="1" applyBorder="1" applyFont="1" applyNumberFormat="1">
      <alignment horizontal="center" shrinkToFit="0" wrapText="1"/>
    </xf>
    <xf borderId="21" fillId="2" fontId="0" numFmtId="2" xfId="0" applyAlignment="1" applyBorder="1" applyFont="1" applyNumberFormat="1">
      <alignment horizontal="center"/>
    </xf>
    <xf borderId="21" fillId="2" fontId="0" numFmtId="9" xfId="0" applyAlignment="1" applyBorder="1" applyFont="1" applyNumberFormat="1">
      <alignment horizontal="center" vertical="center"/>
    </xf>
    <xf borderId="21" fillId="2" fontId="0" numFmtId="168" xfId="0" applyAlignment="1" applyBorder="1" applyFont="1" applyNumberFormat="1">
      <alignment horizontal="center"/>
    </xf>
    <xf borderId="21" fillId="2" fontId="0" numFmtId="9" xfId="0" applyAlignment="1" applyBorder="1" applyFont="1" applyNumberFormat="1">
      <alignment horizontal="center"/>
    </xf>
    <xf borderId="21" fillId="2" fontId="0" numFmtId="165" xfId="0" applyAlignment="1" applyBorder="1" applyFont="1" applyNumberFormat="1">
      <alignment horizontal="center"/>
    </xf>
    <xf borderId="21" fillId="2" fontId="17" numFmtId="165" xfId="0" applyAlignment="1" applyBorder="1" applyFont="1" applyNumberFormat="1">
      <alignment horizontal="center"/>
    </xf>
    <xf borderId="15" fillId="3" fontId="13" numFmtId="165" xfId="0" applyAlignment="1" applyBorder="1" applyFont="1" applyNumberFormat="1">
      <alignment horizontal="center"/>
    </xf>
    <xf borderId="27" fillId="6" fontId="8" numFmtId="0" xfId="0" applyAlignment="1" applyBorder="1" applyFont="1">
      <alignment horizontal="center"/>
    </xf>
    <xf borderId="7" fillId="6" fontId="8" numFmtId="10" xfId="0" applyAlignment="1" applyBorder="1" applyFont="1" applyNumberFormat="1">
      <alignment horizontal="center"/>
    </xf>
    <xf borderId="9" fillId="6" fontId="8" numFmtId="9" xfId="0" applyAlignment="1" applyBorder="1" applyFont="1" applyNumberFormat="1">
      <alignment horizontal="center"/>
    </xf>
    <xf borderId="16" fillId="3" fontId="4" numFmtId="0" xfId="0" applyAlignment="1" applyBorder="1" applyFont="1">
      <alignment horizontal="center"/>
    </xf>
    <xf borderId="6" fillId="4" fontId="8" numFmtId="0" xfId="0" applyAlignment="1" applyBorder="1" applyFont="1">
      <alignment horizontal="left"/>
    </xf>
    <xf borderId="21" fillId="4" fontId="8" numFmtId="0" xfId="0" applyAlignment="1" applyBorder="1" applyFont="1">
      <alignment horizontal="center"/>
    </xf>
    <xf borderId="7" fillId="4" fontId="8" numFmtId="0" xfId="0" applyAlignment="1" applyBorder="1" applyFont="1">
      <alignment horizontal="center"/>
    </xf>
    <xf borderId="21" fillId="0" fontId="8" numFmtId="165" xfId="0" applyAlignment="1" applyBorder="1" applyFont="1" applyNumberFormat="1">
      <alignment horizontal="center"/>
    </xf>
    <xf borderId="21" fillId="0" fontId="8" numFmtId="169" xfId="0" applyAlignment="1" applyBorder="1" applyFont="1" applyNumberFormat="1">
      <alignment horizontal="center"/>
    </xf>
    <xf borderId="21" fillId="0" fontId="8" numFmtId="2" xfId="0" applyAlignment="1" applyBorder="1" applyFont="1" applyNumberFormat="1">
      <alignment horizontal="center"/>
    </xf>
    <xf borderId="7" fillId="0" fontId="8" numFmtId="2" xfId="0" applyAlignment="1" applyBorder="1" applyFont="1" applyNumberFormat="1">
      <alignment horizontal="center"/>
    </xf>
    <xf borderId="4" fillId="4" fontId="13" numFmtId="0" xfId="0" applyAlignment="1" applyBorder="1" applyFont="1">
      <alignment horizontal="center"/>
    </xf>
    <xf borderId="26" fillId="4" fontId="13" numFmtId="0" xfId="0" applyAlignment="1" applyBorder="1" applyFont="1">
      <alignment horizontal="center"/>
    </xf>
    <xf borderId="27" fillId="4" fontId="13" numFmtId="0" xfId="0" applyAlignment="1" applyBorder="1" applyFont="1">
      <alignment horizontal="center"/>
    </xf>
    <xf borderId="6" fillId="6" fontId="13" numFmtId="165" xfId="0" applyAlignment="1" applyBorder="1" applyFont="1" applyNumberFormat="1">
      <alignment horizontal="center"/>
    </xf>
    <xf borderId="21" fillId="6" fontId="13" numFmtId="165" xfId="0" applyAlignment="1" applyBorder="1" applyFont="1" applyNumberFormat="1">
      <alignment horizontal="center"/>
    </xf>
    <xf borderId="19" fillId="3" fontId="4" numFmtId="0" xfId="0" applyAlignment="1" applyBorder="1" applyFont="1">
      <alignment horizontal="center"/>
    </xf>
    <xf borderId="21" fillId="0" fontId="8" numFmtId="0" xfId="0" applyBorder="1" applyFont="1"/>
    <xf borderId="7" fillId="6" fontId="13" numFmtId="165" xfId="0" applyAlignment="1" applyBorder="1" applyFont="1" applyNumberFormat="1">
      <alignment horizontal="center"/>
    </xf>
    <xf borderId="8" fillId="6" fontId="13" numFmtId="165" xfId="0" applyAlignment="1" applyBorder="1" applyFont="1" applyNumberFormat="1">
      <alignment horizontal="center"/>
    </xf>
    <xf borderId="24" fillId="6" fontId="13" numFmtId="165" xfId="0" applyAlignment="1" applyBorder="1" applyFont="1" applyNumberFormat="1">
      <alignment horizontal="center"/>
    </xf>
    <xf borderId="9" fillId="6" fontId="13" numFmtId="165" xfId="0" applyAlignment="1" applyBorder="1" applyFont="1" applyNumberFormat="1">
      <alignment horizontal="center"/>
    </xf>
    <xf borderId="2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left"/>
    </xf>
    <xf borderId="21" fillId="0" fontId="8" numFmtId="0" xfId="0" applyAlignment="1" applyBorder="1" applyFont="1">
      <alignment horizontal="center"/>
    </xf>
    <xf borderId="8" fillId="6" fontId="13" numFmtId="0" xfId="0" applyBorder="1" applyFont="1"/>
    <xf borderId="24" fillId="6" fontId="13" numFmtId="0" xfId="0" applyAlignment="1" applyBorder="1" applyFont="1">
      <alignment horizontal="center"/>
    </xf>
    <xf borderId="24" fillId="6" fontId="13" numFmtId="2" xfId="0" applyAlignment="1" applyBorder="1" applyFont="1" applyNumberFormat="1">
      <alignment horizontal="center"/>
    </xf>
    <xf borderId="9" fillId="6" fontId="13" numFmtId="2" xfId="0" applyAlignment="1" applyBorder="1" applyFont="1" applyNumberFormat="1">
      <alignment horizontal="center"/>
    </xf>
    <xf borderId="21" fillId="0" fontId="8" numFmtId="170" xfId="0" applyAlignment="1" applyBorder="1" applyFont="1" applyNumberFormat="1">
      <alignment horizontal="left"/>
    </xf>
    <xf borderId="21" fillId="0" fontId="8" numFmtId="171" xfId="0" applyAlignment="1" applyBorder="1" applyFont="1" applyNumberFormat="1">
      <alignment horizontal="center"/>
    </xf>
    <xf borderId="57" fillId="0" fontId="15" numFmtId="0" xfId="0" applyAlignment="1" applyBorder="1" applyFont="1">
      <alignment horizontal="right"/>
    </xf>
    <xf borderId="21" fillId="0" fontId="8" numFmtId="171" xfId="0" applyBorder="1" applyFont="1" applyNumberFormat="1"/>
    <xf borderId="21" fillId="0" fontId="15" numFmtId="0" xfId="0" applyAlignment="1" applyBorder="1" applyFont="1">
      <alignment horizontal="right"/>
    </xf>
    <xf borderId="21" fillId="0" fontId="9" numFmtId="0" xfId="0" applyBorder="1" applyFont="1"/>
    <xf borderId="57" fillId="0" fontId="9" numFmtId="49" xfId="0" applyAlignment="1" applyBorder="1" applyFont="1" applyNumberFormat="1">
      <alignment horizontal="left"/>
    </xf>
    <xf borderId="34" fillId="0" fontId="9" numFmtId="0" xfId="0" applyBorder="1" applyFont="1"/>
    <xf borderId="65" fillId="0" fontId="9" numFmtId="49" xfId="0" applyAlignment="1" applyBorder="1" applyFont="1" applyNumberFormat="1">
      <alignment horizontal="left"/>
    </xf>
    <xf borderId="2" fillId="0" fontId="13" numFmtId="0" xfId="0" applyAlignment="1" applyBorder="1" applyFont="1">
      <alignment horizontal="center"/>
    </xf>
    <xf borderId="0" fillId="0" fontId="13" numFmtId="0" xfId="0" applyFont="1"/>
    <xf borderId="70" fillId="0" fontId="8" numFmtId="0" xfId="0" applyAlignment="1" applyBorder="1" applyFont="1">
      <alignment horizontal="center"/>
    </xf>
    <xf borderId="78" fillId="0" fontId="5" numFmtId="0" xfId="0" applyBorder="1" applyFont="1"/>
    <xf borderId="57" fillId="0" fontId="8" numFmtId="0" xfId="0" applyAlignment="1" applyBorder="1" applyFont="1">
      <alignment horizontal="center"/>
    </xf>
    <xf borderId="57" fillId="0" fontId="9" numFmtId="2" xfId="0" applyAlignment="1" applyBorder="1" applyFont="1" applyNumberFormat="1">
      <alignment horizontal="center"/>
    </xf>
    <xf borderId="57" fillId="0" fontId="9" numFmtId="9" xfId="0" applyAlignment="1" applyBorder="1" applyFont="1" applyNumberFormat="1">
      <alignment horizontal="center"/>
    </xf>
    <xf borderId="21" fillId="0" fontId="9" numFmtId="9" xfId="0" applyAlignment="1" applyBorder="1" applyFont="1" applyNumberFormat="1">
      <alignment horizontal="center"/>
    </xf>
    <xf borderId="37" fillId="0" fontId="9" numFmtId="0" xfId="0" applyBorder="1" applyFont="1"/>
    <xf borderId="0" fillId="0" fontId="9" numFmtId="2" xfId="0" applyAlignment="1" applyFont="1" applyNumberFormat="1">
      <alignment horizontal="center"/>
    </xf>
    <xf borderId="34" fillId="0" fontId="9" numFmtId="9" xfId="0" applyAlignment="1" applyBorder="1" applyFont="1" applyNumberFormat="1">
      <alignment horizontal="center"/>
    </xf>
    <xf borderId="79" fillId="0" fontId="15" numFmtId="0" xfId="0" applyAlignment="1" applyBorder="1" applyFont="1">
      <alignment horizontal="left" shrinkToFit="0" vertical="center" wrapText="1"/>
    </xf>
    <xf borderId="80" fillId="0" fontId="5" numFmtId="0" xfId="0" applyBorder="1" applyFont="1"/>
    <xf borderId="81" fillId="0" fontId="5" numFmtId="0" xfId="0" applyBorder="1" applyFont="1"/>
    <xf borderId="82" fillId="0" fontId="5" numFmtId="0" xfId="0" applyBorder="1" applyFont="1"/>
    <xf borderId="83" fillId="0" fontId="5" numFmtId="0" xfId="0" applyBorder="1" applyFont="1"/>
    <xf borderId="84" fillId="0" fontId="5" numFmtId="0" xfId="0" applyBorder="1" applyFont="1"/>
    <xf borderId="85" fillId="0" fontId="5" numFmtId="0" xfId="0" applyBorder="1" applyFont="1"/>
    <xf borderId="86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t>Contribuição no custo fixo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36EA1"/>
            </a:solidFill>
          </c:spPr>
          <c:val>
            <c:numRef>
              <c:f>'Gráficos de custos'!$G$4</c:f>
            </c:numRef>
          </c:val>
        </c:ser>
        <c:ser>
          <c:idx val="1"/>
          <c:order val="1"/>
          <c:spPr>
            <a:solidFill>
              <a:srgbClr val="A34441"/>
            </a:solidFill>
          </c:spPr>
          <c:val>
            <c:numRef>
              <c:f>'Gráficos de custos'!$G$5</c:f>
            </c:numRef>
          </c:val>
        </c:ser>
        <c:ser>
          <c:idx val="2"/>
          <c:order val="2"/>
          <c:spPr>
            <a:solidFill>
              <a:srgbClr val="849F4C"/>
            </a:solidFill>
          </c:spPr>
          <c:val>
            <c:numRef>
              <c:f>'Gráficos de custos'!$G$6</c:f>
            </c:numRef>
          </c:val>
        </c:ser>
        <c:ser>
          <c:idx val="3"/>
          <c:order val="3"/>
          <c:spPr>
            <a:solidFill>
              <a:srgbClr val="6D558A"/>
            </a:solidFill>
          </c:spPr>
          <c:val>
            <c:numRef>
              <c:f>'Gráficos de custos'!$G$7</c:f>
            </c:numRef>
          </c:val>
        </c:ser>
        <c:ser>
          <c:idx val="4"/>
          <c:order val="4"/>
          <c:spPr>
            <a:solidFill>
              <a:srgbClr val="4092A8"/>
            </a:solidFill>
          </c:spPr>
          <c:val>
            <c:numRef>
              <c:f>'Gráficos de custos'!$G$8</c:f>
            </c:numRef>
          </c:val>
        </c:ser>
        <c:ser>
          <c:idx val="5"/>
          <c:order val="5"/>
          <c:spPr>
            <a:solidFill>
              <a:srgbClr val="D2803C"/>
            </a:solidFill>
          </c:spPr>
          <c:val>
            <c:numRef>
              <c:f>'Gráficos de custos'!$G$9</c:f>
            </c:numRef>
          </c:val>
        </c:ser>
        <c:ser>
          <c:idx val="6"/>
          <c:order val="6"/>
          <c:spPr>
            <a:solidFill>
              <a:srgbClr val="618EC4"/>
            </a:solidFill>
          </c:spPr>
          <c:val>
            <c:numRef>
              <c:f>'Gráficos de custos'!$G$10</c:f>
            </c:numRef>
          </c:val>
        </c:ser>
        <c:axId val="196527757"/>
        <c:axId val="780014588"/>
      </c:bar3DChart>
      <c:catAx>
        <c:axId val="1965277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780014588"/>
      </c:catAx>
      <c:valAx>
        <c:axId val="78001458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t>% no custo fixo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96527757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t>Contribuição no custo variável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36EA1"/>
            </a:solidFill>
          </c:spPr>
          <c:val>
            <c:numRef>
              <c:f>'Gráficos de custos'!$G$14</c:f>
            </c:numRef>
          </c:val>
        </c:ser>
        <c:ser>
          <c:idx val="1"/>
          <c:order val="1"/>
          <c:spPr>
            <a:solidFill>
              <a:srgbClr val="A34441"/>
            </a:solidFill>
          </c:spPr>
          <c:val>
            <c:numRef>
              <c:f>'Gráficos de custos'!$G$15</c:f>
            </c:numRef>
          </c:val>
        </c:ser>
        <c:ser>
          <c:idx val="2"/>
          <c:order val="2"/>
          <c:spPr>
            <a:solidFill>
              <a:srgbClr val="849F4C"/>
            </a:solidFill>
          </c:spPr>
          <c:val>
            <c:numRef>
              <c:f>'Gráficos de custos'!$G$16</c:f>
            </c:numRef>
          </c:val>
        </c:ser>
        <c:ser>
          <c:idx val="3"/>
          <c:order val="3"/>
          <c:spPr>
            <a:solidFill>
              <a:srgbClr val="6D558A"/>
            </a:solidFill>
          </c:spPr>
          <c:val>
            <c:numRef>
              <c:f>'Gráficos de custos'!$G$17</c:f>
            </c:numRef>
          </c:val>
        </c:ser>
        <c:ser>
          <c:idx val="4"/>
          <c:order val="4"/>
          <c:spPr>
            <a:solidFill>
              <a:srgbClr val="4092A8"/>
            </a:solidFill>
          </c:spPr>
          <c:val>
            <c:numRef>
              <c:f>'Gráficos de custos'!$G$18</c:f>
            </c:numRef>
          </c:val>
        </c:ser>
        <c:ser>
          <c:idx val="5"/>
          <c:order val="5"/>
          <c:spPr>
            <a:solidFill>
              <a:srgbClr val="D2803C"/>
            </a:solidFill>
          </c:spPr>
          <c:val>
            <c:numRef>
              <c:f>'Gráficos de custos'!$G$20</c:f>
            </c:numRef>
          </c:val>
        </c:ser>
        <c:ser>
          <c:idx val="6"/>
          <c:order val="6"/>
          <c:spPr>
            <a:solidFill>
              <a:srgbClr val="618EC4"/>
            </a:solidFill>
          </c:spPr>
          <c:val>
            <c:numRef>
              <c:f>'Gráficos de custos'!$G$21</c:f>
            </c:numRef>
          </c:val>
        </c:ser>
        <c:ser>
          <c:idx val="7"/>
          <c:order val="7"/>
          <c:spPr>
            <a:solidFill>
              <a:srgbClr val="C6625F"/>
            </a:solidFill>
          </c:spPr>
          <c:val>
            <c:numRef>
              <c:f>'Gráficos de custos'!$G$22</c:f>
            </c:numRef>
          </c:val>
        </c:ser>
        <c:ser>
          <c:idx val="8"/>
          <c:order val="8"/>
          <c:spPr>
            <a:solidFill>
              <a:srgbClr val="A5C26A"/>
            </a:solidFill>
          </c:spPr>
          <c:val>
            <c:numRef>
              <c:f>'Gráficos de custos'!$G$19</c:f>
            </c:numRef>
          </c:val>
        </c:ser>
        <c:axId val="1270760850"/>
        <c:axId val="64014850"/>
      </c:bar3DChart>
      <c:catAx>
        <c:axId val="12707608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64014850"/>
      </c:catAx>
      <c:valAx>
        <c:axId val="6401485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t>% no custo variável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270760850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t>Contribuição no custo total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val>
            <c:numRef>
              <c:f>'Gráficos de custos'!$H$21</c:f>
            </c:numRef>
          </c:val>
        </c:ser>
        <c:ser>
          <c:idx val="1"/>
          <c:order val="1"/>
          <c:spPr>
            <a:solidFill>
              <a:srgbClr val="A34441"/>
            </a:solidFill>
          </c:spPr>
          <c:val>
            <c:numRef>
              <c:f>'Gráficos de custos'!$H$9</c:f>
            </c:numRef>
          </c:val>
        </c:ser>
        <c:ser>
          <c:idx val="2"/>
          <c:order val="2"/>
          <c:spPr>
            <a:solidFill>
              <a:srgbClr val="849F4C"/>
            </a:solidFill>
          </c:spPr>
          <c:val>
            <c:numRef>
              <c:f>'Gráficos de custos'!$H$8</c:f>
            </c:numRef>
          </c:val>
        </c:ser>
        <c:ser>
          <c:idx val="3"/>
          <c:order val="3"/>
          <c:spPr>
            <a:solidFill>
              <a:srgbClr val="6D558A"/>
            </a:solidFill>
          </c:spPr>
          <c:val>
            <c:numRef>
              <c:f>'Gráficos de custos'!$H$22</c:f>
            </c:numRef>
          </c:val>
        </c:ser>
        <c:ser>
          <c:idx val="4"/>
          <c:order val="4"/>
          <c:spPr>
            <a:solidFill>
              <a:srgbClr val="4092A8"/>
            </a:solidFill>
          </c:spPr>
          <c:val>
            <c:numRef>
              <c:f>'Gráficos de custos'!$H$10</c:f>
            </c:numRef>
          </c:val>
        </c:ser>
        <c:ser>
          <c:idx val="5"/>
          <c:order val="5"/>
          <c:spPr>
            <a:solidFill>
              <a:srgbClr val="D2803C"/>
            </a:solidFill>
          </c:spPr>
          <c:val>
            <c:numRef>
              <c:f>'Gráficos de custos'!$H$19</c:f>
            </c:numRef>
          </c:val>
        </c:ser>
        <c:ser>
          <c:idx val="6"/>
          <c:order val="6"/>
          <c:spPr>
            <a:solidFill>
              <a:srgbClr val="618EC4"/>
            </a:solidFill>
          </c:spPr>
          <c:val>
            <c:numRef>
              <c:f>'Gráficos de custos'!$H$7</c:f>
            </c:numRef>
          </c:val>
        </c:ser>
        <c:ser>
          <c:idx val="7"/>
          <c:order val="7"/>
          <c:spPr>
            <a:solidFill>
              <a:srgbClr val="C6625F"/>
            </a:solidFill>
          </c:spPr>
          <c:val>
            <c:numRef>
              <c:f>'Gráficos de custos'!$H$16</c:f>
            </c:numRef>
          </c:val>
        </c:ser>
        <c:ser>
          <c:idx val="8"/>
          <c:order val="8"/>
          <c:spPr>
            <a:solidFill>
              <a:srgbClr val="A5C26A"/>
            </a:solidFill>
          </c:spPr>
          <c:val>
            <c:numRef>
              <c:f>'Gráficos de custos'!$H$4</c:f>
            </c:numRef>
          </c:val>
        </c:ser>
        <c:ser>
          <c:idx val="9"/>
          <c:order val="9"/>
          <c:spPr>
            <a:solidFill>
              <a:srgbClr val="8D74AB"/>
            </a:solidFill>
          </c:spPr>
          <c:val>
            <c:numRef>
              <c:f>'Gráficos de custos'!$H$6</c:f>
            </c:numRef>
          </c:val>
        </c:ser>
        <c:ser>
          <c:idx val="10"/>
          <c:order val="10"/>
          <c:spPr>
            <a:solidFill>
              <a:srgbClr val="5DB4CC"/>
            </a:solidFill>
          </c:spPr>
          <c:val>
            <c:numRef>
              <c:f>'Gráficos de custos'!$H$17</c:f>
            </c:numRef>
          </c:val>
        </c:ser>
        <c:ser>
          <c:idx val="11"/>
          <c:order val="11"/>
          <c:spPr>
            <a:solidFill>
              <a:srgbClr val="F8A159"/>
            </a:solidFill>
          </c:spPr>
          <c:val>
            <c:numRef>
              <c:f>'Gráficos de custos'!$H$5</c:f>
            </c:numRef>
          </c:val>
        </c:ser>
        <c:ser>
          <c:idx val="12"/>
          <c:order val="12"/>
          <c:spPr>
            <a:solidFill>
              <a:srgbClr val="618EC4"/>
            </a:solidFill>
          </c:spPr>
          <c:val>
            <c:numRef>
              <c:f>'Gráficos de custos'!$H$20</c:f>
            </c:numRef>
          </c:val>
        </c:ser>
        <c:ser>
          <c:idx val="13"/>
          <c:order val="13"/>
          <c:spPr>
            <a:solidFill>
              <a:schemeClr val="accent2">
                <a:lumOff val="60000"/>
              </a:schemeClr>
            </a:solidFill>
          </c:spPr>
          <c:val>
            <c:numRef>
              <c:f>'Gráficos de custos'!$H$18</c:f>
            </c:numRef>
          </c:val>
        </c:ser>
        <c:ser>
          <c:idx val="14"/>
          <c:order val="14"/>
          <c:spPr>
            <a:solidFill>
              <a:schemeClr val="accent3">
                <a:lumOff val="60000"/>
              </a:schemeClr>
            </a:solidFill>
          </c:spPr>
          <c:val>
            <c:numRef>
              <c:f>'Gráficos de custos'!$H$15</c:f>
            </c:numRef>
          </c:val>
        </c:ser>
        <c:ser>
          <c:idx val="15"/>
          <c:order val="15"/>
          <c:spPr>
            <a:solidFill>
              <a:schemeClr val="accent4">
                <a:lumOff val="60000"/>
              </a:schemeClr>
            </a:solidFill>
          </c:spPr>
          <c:val>
            <c:numRef>
              <c:f>'Gráficos de custos'!$H$14</c:f>
            </c:numRef>
          </c:val>
        </c:ser>
        <c:axId val="145690286"/>
        <c:axId val="1953516413"/>
      </c:bar3DChart>
      <c:catAx>
        <c:axId val="1456902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953516413"/>
      </c:catAx>
      <c:valAx>
        <c:axId val="1953516413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t>% no custo total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45690286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t>Contribuição no custo total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</c:spPr>
          <c:val>
            <c:numRef>
              <c:f>'Gráficos de custos'!$H$11</c:f>
            </c:numRef>
          </c:val>
        </c:ser>
        <c:ser>
          <c:idx val="1"/>
          <c:order val="1"/>
          <c:spPr>
            <a:solidFill>
              <a:schemeClr val="accent2"/>
            </a:solidFill>
          </c:spPr>
          <c:val>
            <c:numRef>
              <c:f>'Gráficos de custos'!$H$23</c:f>
            </c:numRef>
          </c:val>
        </c:ser>
        <c:axId val="1155556279"/>
        <c:axId val="1805750589"/>
      </c:bar3DChart>
      <c:catAx>
        <c:axId val="1155556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t>% no custo total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805750589"/>
      </c:catAx>
      <c:valAx>
        <c:axId val="1805750589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155556279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chemeClr val="lt1"/>
    </a:solidFill>
  </c:spPr>
</c:chartSpace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476250</xdr:colOff>
      <xdr:row>12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266700</xdr:colOff>
      <xdr:row>0</xdr:row>
      <xdr:rowOff>85725</xdr:rowOff>
    </xdr:from>
    <xdr:ext cx="5162550" cy="5410200"/>
    <xdr:sp>
      <xdr:nvSpPr>
        <xdr:cNvPr id="4" name="Shape 4"/>
        <xdr:cNvSpPr txBox="1"/>
      </xdr:nvSpPr>
      <xdr:spPr>
        <a:xfrm>
          <a:off x="2774250" y="1084425"/>
          <a:ext cx="5143500" cy="5391150"/>
        </a:xfrm>
        <a:prstGeom prst="rect">
          <a:avLst/>
        </a:prstGeom>
        <a:solidFill>
          <a:srgbClr val="FABF8E"/>
        </a:solidFill>
        <a:ln cap="flat" cmpd="sng" w="254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FISHCOST - Planilhas de custo</a:t>
          </a:r>
          <a:r>
            <a:rPr b="1" i="0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de produção de tilápias em viveiros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 partir de um projeto proposto à disciplina de piscicultura, do curso de Zootecnia -UFPR , essa planilha de custos de produção foi desenvolvida com intuito de fornecer aos piscicultores uma ferramenta inicial para implementação de uma gestão efetiva da produção. 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 gestão dos custos não são, por si só, classificados como gestão total da produção, porém, faz parte e é necessária como medida inicial, e a partir dela, podem ser tomas decisões a fim de melhor gerenciar e minimizar os custos, e assim, aumentar a rentabilidade da produção.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Existe uma pretenção de que qualquer produtor, técnico ou qualquer interessado em piscicultura em viveiros consiga preenche-la e interpretar os resultados, porém, o auxilio de um profissional capacitado pode ser necessário para o melhor entendimento e aproveitamento dos dados fornecidos pela planilha.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Não existe interesse comercial por parte dos elaboradores da planilha, ela está à disposição de todos, de forma gratuita. O interesse é exclusivo em proporcionar melhor entendimento aos piscicultores e, de alguma forma, contribuir para o aperfeiçoamento da produção nacional.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Caso haja alguma dúvida ou sugestão, o contato com os elaboradores pode ser feito através do e-mail:</a:t>
          </a: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b="1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custospiscicultura@gmail.com.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b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Atenciosamente,</a:t>
          </a: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Carlos Henrique Kulik</a:t>
          </a: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Helton Gonçalves Nascimento</a:t>
          </a:r>
          <a:b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b="0" i="0"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Thiago Augusto Cruz</a:t>
          </a:r>
          <a:r>
            <a:rPr lang="en-US" sz="105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171450</xdr:rowOff>
    </xdr:from>
    <xdr:ext cx="5343525" cy="6429375"/>
    <xdr:sp>
      <xdr:nvSpPr>
        <xdr:cNvPr id="5" name="Shape 5"/>
        <xdr:cNvSpPr/>
      </xdr:nvSpPr>
      <xdr:spPr>
        <a:xfrm>
          <a:off x="2674238" y="570075"/>
          <a:ext cx="5343525" cy="64198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24</xdr:row>
      <xdr:rowOff>95250</xdr:rowOff>
    </xdr:from>
    <xdr:ext cx="8620125" cy="34004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9525</xdr:colOff>
      <xdr:row>24</xdr:row>
      <xdr:rowOff>123825</xdr:rowOff>
    </xdr:from>
    <xdr:ext cx="5724525" cy="34004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561975</xdr:colOff>
      <xdr:row>44</xdr:row>
      <xdr:rowOff>28575</xdr:rowOff>
    </xdr:from>
    <xdr:ext cx="8639175" cy="47434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590550</xdr:colOff>
      <xdr:row>44</xdr:row>
      <xdr:rowOff>47625</xdr:rowOff>
    </xdr:from>
    <xdr:ext cx="4838700" cy="340042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28575</xdr:rowOff>
    </xdr:from>
    <xdr:ext cx="5257800" cy="15801975"/>
    <xdr:sp>
      <xdr:nvSpPr>
        <xdr:cNvPr id="6" name="Shape 6"/>
        <xdr:cNvSpPr txBox="1"/>
      </xdr:nvSpPr>
      <xdr:spPr>
        <a:xfrm>
          <a:off x="2731388" y="0"/>
          <a:ext cx="5229225" cy="7560000"/>
        </a:xfrm>
        <a:prstGeom prst="rect">
          <a:avLst/>
        </a:prstGeom>
        <a:solidFill>
          <a:srgbClr val="FABF8E"/>
        </a:solidFill>
        <a:ln cap="flat" cmpd="sng" w="254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FISHCOST</a:t>
          </a:r>
          <a:endParaRPr sz="11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 planilha é dividida em 18 partes, a parte inicial é dividida em apresentação, instruções e menu navegação. No menu navegação, podem ser encontrados todos parâmetros a serem preenchidos separadamente, ao clicar em cada botão, será direcionado a planilha referente.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 qualquer momento, você poderá retornar ao menu navegação clicando no botão "voltar ao menu principal".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Você poderá preencher apenas as células que apresentarem cor branca e não estiverem preenchidas, a não ser quando esteja escrito "outros", nesses casos, você poderá reescrever o nome do produto.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 planilha está dividida em: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Dados gerais: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Aqui você colocará dados referentes a empresa, como nome, atividade desenvolvida, dentre outros. É importante que todos os dados sejam preenchidos de forma correta, pois o funcionamento depende também dessa etapa.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Parâmetros econômicos-mercadológicos: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Nessa aba você deverá escolher os valores  (% ao ano) cujos quais você deseja tomar como base para comparar com a piscicultura, veja, costumeiramente se utiliza o valor do juros da poupança, porém, esses eram fixos, atualmente flutuam de acordo com a taxa SELIC e portanto devem ser preenchidos  de acordo com o período no qual foi feita a produção. Vale salientar que não é necessário que se utilize os valores da poupança como base, cabe a você decidir o que apresenta maior coerência. A parte "outras receitas" se refere a outras fontes de renda, porém, essas devem ser provenientes da produção de peixes, não se podem ser colocadas rendas com outras atividades.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As abas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parâmetros recria, parâmetros engorda, parâmetros terminação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parâmetros monofásico,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devem ser preenchidas de acordo com tipo da produção, se esta é feita de maneira contínua, sem diferenciação de fases, apenas a aba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 Monofásico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deve ser utilizada. Por outro lado, se houver diferenciação de fases, apenas devem ser utilizadas as abas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parâmetros recria, parâmetros engorda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parâmetros terminação.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Perceba que constam dez viveiros, porém, caso o número de viveiros da sua propriedade seja menor, você deve preencher apenas  o número efetivo de viveiros, deixando os demais em branco,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considerando que seja maior, deve ser salvo em mais planilhas. Os viveiros das abas trifásicas não apresentam ligação entre sí, isso significa que podem ser considerados como 30 viveiros, assim, o viveiro 1 da fase de recria, não é o mesmo que o viveiro 1 da fase de engorda e o 1 da fase terminação, podendo ter tamanhos distintos e portanto o tamanho do viveiro deve ser digitado em todas as fases. Caso seja o mesmo viveiro, utilize a aba parâmetro monofásico, mesmo havendo diferenciação de fases.</a:t>
          </a:r>
          <a:endParaRPr sz="11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Custos de implantação: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Aqui você poderá colocar os custos com a implantação da piscicultura, entretanto, só deve ser utilizada caso você vá iniciar uma produção, ou seja, essa aba é destinada para projetos ainda não instalados, ou em fase de instalação. Caso esse não seja o caso da sua produção, deixe em branco todas as células.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Inventário: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Para o correto preenchimento dessa aba, é necessário que seja feito um levantamento de todos os bens da propriedade que são utilizados para a piscicultura. Não deve ser deixado de lado nenhum item. Outro ponto que requer atenção é a parte de "vida útil", a inserção de dados reais nessas células garante que o cálculo de depreciação seja feito de forma correta. Caso não hajam "outros equipamentos e/ou máquinas" deve-se deixar em branco essas células, bem como deve-se deixar em branco células que estejam sobrando.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Custos Fixos: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Os custos fixos são aqueles que não mudam de acordo com a quantidade produzida, isso significa que se mantém estáveis produzindo ou não. Basta preencher corretamente o que está descrito que não haverão problemas. Não há necessidade de conhecimentos econômicos específicos, nós já separamos de forma correta os custos a serem preenchidos nessa aba.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Custos variáveis: 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Os custos variáveis são aqueles que variam de acordo com a quantidade produzida, ou seja, aumentam ou diminuem conforme se aumenta ou diminui a produção. Assim como na aba dos custos fixos, nessa você também não precisa se preocupar, pois já estão descritos a maioria dos custos, porém, caso haja a necessidade de inserir novos custos, você poderá utilizar as células "outros custos" para isso. Note que aqui existem células "outras espécies", embora o foco das planilhas sejam tilápias, você pode incluir outras espécies que sejam cultivadas concomitantemente e os custos dessa produção, bem como as receitas, também serão contabilizados.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Nas abas 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Receitas, Indicadores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Gráficos de custos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 é preciso inserir dados, os cálculos são feitos automaticamente a partir do que foi preenchido nas abas anteriores. São nessas abas que você tomará conhecimento sobre como está a sua produção e quais custos apresentam maior importância, a partir disso você poderá tomar decisões para melhorar seus índices de rentabilidade.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Retorno do investimento: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Aqui você poderá ver quantos ciclos de produção serão necessários para recuperar o investimento. Porém, para esse cálculo, foi suposto que os ciclos sequentes apresentem as mesmas características técnicas e econômicas do ciclo atual, ou seja, não é um valor absoluto, é uma simulação. Para um correto fluxo de caixa e sequente cálculo de pay-back, é necessário que seja formado um banco de dados ao longo de anos e a partir disso montar o cálculo efetivo.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	</a:t>
          </a: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Relatório da produção: 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Essa aba é destinada para impressão, com ela você poderá ter um documento com todos os indicadores técnicos e econômicos descritos de forma organizada e assim, ter de maneira mais fácil os índices da sua produção.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	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Após preencher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todos os campos e vizualizado todos os indicadores, para salvar, é necessário utilizar a opção "salvar como" do próprio excel, mudar o nome do arquivo e salvar habilitando o conteúdo para Macro (Arquivo - Salvar como  - Modelo Habilitado para Macro do Excel). Com isso,  será mantida a versão original intacta e todos os recursos funcionarão corretamente.</a:t>
          </a:r>
          <a:endParaRPr sz="11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438150</xdr:colOff>
      <xdr:row>1</xdr:row>
      <xdr:rowOff>0</xdr:rowOff>
    </xdr:from>
    <xdr:ext cx="6934200" cy="752475"/>
    <xdr:sp>
      <xdr:nvSpPr>
        <xdr:cNvPr id="7" name="Shape 7"/>
        <xdr:cNvSpPr txBox="1"/>
      </xdr:nvSpPr>
      <xdr:spPr>
        <a:xfrm>
          <a:off x="1883663" y="3403763"/>
          <a:ext cx="6924675" cy="752475"/>
        </a:xfrm>
        <a:prstGeom prst="rect">
          <a:avLst/>
        </a:prstGeom>
        <a:solidFill>
          <a:srgbClr val="92CCD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FISHCOST - Planilhas de custo</a:t>
          </a:r>
          <a:r>
            <a:rPr b="1"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de produção de tilápias (</a:t>
          </a:r>
          <a:r>
            <a:rPr b="1" i="1"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Oreochromis niloticus)</a:t>
          </a:r>
          <a:r>
            <a:rPr b="1" i="1"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b="1"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em viveiros </a:t>
          </a:r>
          <a:endParaRPr b="1" sz="20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3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4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5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6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7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8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9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10.v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8.0"/>
    <col customWidth="1" min="2" max="2" width="21.13"/>
    <col customWidth="1" min="3" max="3" width="10.63"/>
    <col customWidth="1" min="4" max="4" width="11.13"/>
    <col customWidth="1" min="5" max="5" width="13.75"/>
    <col customWidth="1" min="6" max="6" width="12.88"/>
    <col customWidth="1" min="7" max="7" width="8.13"/>
    <col customWidth="1" min="8" max="23" width="8.0"/>
    <col customWidth="1" min="24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81</v>
      </c>
      <c r="C2" s="31"/>
      <c r="D2" s="31"/>
      <c r="E2" s="31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99" t="s">
        <v>15</v>
      </c>
      <c r="C3" s="100" t="s">
        <v>16</v>
      </c>
      <c r="D3" s="100" t="s">
        <v>82</v>
      </c>
      <c r="E3" s="100" t="s">
        <v>83</v>
      </c>
      <c r="F3" s="101" t="s">
        <v>84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6" t="s">
        <v>80</v>
      </c>
      <c r="C4" s="31"/>
      <c r="D4" s="31"/>
      <c r="E4" s="31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2" t="s">
        <v>85</v>
      </c>
      <c r="C5" s="103" t="s">
        <v>37</v>
      </c>
      <c r="D5" s="104">
        <v>0.1</v>
      </c>
      <c r="E5" s="105">
        <v>200000.0</v>
      </c>
      <c r="F5" s="106">
        <f t="shared" ref="F5:F8" si="1">E5*D5</f>
        <v>20000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5" t="s">
        <v>86</v>
      </c>
      <c r="C6" s="36" t="s">
        <v>37</v>
      </c>
      <c r="D6" s="95">
        <v>0.0</v>
      </c>
      <c r="E6" s="37">
        <v>0.0</v>
      </c>
      <c r="F6" s="107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5" t="s">
        <v>87</v>
      </c>
      <c r="C7" s="36" t="s">
        <v>37</v>
      </c>
      <c r="D7" s="95">
        <v>0.0</v>
      </c>
      <c r="E7" s="37">
        <v>0.0</v>
      </c>
      <c r="F7" s="10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64" t="s">
        <v>92</v>
      </c>
      <c r="C8" s="65" t="s">
        <v>37</v>
      </c>
      <c r="D8" s="115">
        <v>0.0</v>
      </c>
      <c r="E8" s="116">
        <v>0.0</v>
      </c>
      <c r="F8" s="118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6" t="s">
        <v>111</v>
      </c>
      <c r="C9" s="31"/>
      <c r="D9" s="31"/>
      <c r="E9" s="31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9" t="s">
        <v>113</v>
      </c>
      <c r="C10" s="95" t="s">
        <v>29</v>
      </c>
      <c r="D10" s="95">
        <v>10.0</v>
      </c>
      <c r="E10" s="37">
        <v>2044.08</v>
      </c>
      <c r="F10" s="107">
        <f t="shared" ref="F10:F27" si="2">E10*D10</f>
        <v>20440.8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9" t="s">
        <v>117</v>
      </c>
      <c r="C11" s="95" t="s">
        <v>29</v>
      </c>
      <c r="D11" s="95">
        <v>1.0</v>
      </c>
      <c r="E11" s="37">
        <v>4000.0</v>
      </c>
      <c r="F11" s="107">
        <f t="shared" si="2"/>
        <v>4000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9" t="s">
        <v>119</v>
      </c>
      <c r="C12" s="95" t="s">
        <v>29</v>
      </c>
      <c r="D12" s="95">
        <v>1.0</v>
      </c>
      <c r="E12" s="37">
        <v>1000.0</v>
      </c>
      <c r="F12" s="107">
        <f t="shared" si="2"/>
        <v>1000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9" t="s">
        <v>121</v>
      </c>
      <c r="C13" s="95" t="s">
        <v>29</v>
      </c>
      <c r="D13" s="95">
        <v>1.0</v>
      </c>
      <c r="E13" s="37">
        <v>740.0</v>
      </c>
      <c r="F13" s="107">
        <f t="shared" si="2"/>
        <v>740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5" t="s">
        <v>122</v>
      </c>
      <c r="C14" s="36" t="s">
        <v>29</v>
      </c>
      <c r="D14" s="95">
        <v>0.0</v>
      </c>
      <c r="E14" s="37">
        <v>0.0</v>
      </c>
      <c r="F14" s="107">
        <f t="shared" si="2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" t="s">
        <v>123</v>
      </c>
      <c r="C15" s="36" t="s">
        <v>124</v>
      </c>
      <c r="D15" s="95">
        <v>0.0</v>
      </c>
      <c r="E15" s="37">
        <v>0.0</v>
      </c>
      <c r="F15" s="107">
        <f t="shared" si="2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5" t="s">
        <v>125</v>
      </c>
      <c r="C16" s="36" t="s">
        <v>126</v>
      </c>
      <c r="D16" s="95">
        <v>0.0</v>
      </c>
      <c r="E16" s="37">
        <v>0.0</v>
      </c>
      <c r="F16" s="107">
        <f t="shared" si="2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 t="s">
        <v>127</v>
      </c>
      <c r="C17" s="36" t="s">
        <v>128</v>
      </c>
      <c r="D17" s="95">
        <v>0.0</v>
      </c>
      <c r="E17" s="37">
        <v>0.0</v>
      </c>
      <c r="F17" s="107">
        <f t="shared" si="2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129</v>
      </c>
      <c r="C18" s="36" t="s">
        <v>130</v>
      </c>
      <c r="D18" s="95">
        <v>0.0</v>
      </c>
      <c r="E18" s="37">
        <v>0.0</v>
      </c>
      <c r="F18" s="107">
        <f t="shared" si="2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5" t="s">
        <v>131</v>
      </c>
      <c r="C19" s="36" t="s">
        <v>132</v>
      </c>
      <c r="D19" s="95">
        <v>0.0</v>
      </c>
      <c r="E19" s="37">
        <v>0.0</v>
      </c>
      <c r="F19" s="107">
        <f t="shared" si="2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5" t="s">
        <v>133</v>
      </c>
      <c r="C20" s="36" t="s">
        <v>132</v>
      </c>
      <c r="D20" s="95">
        <v>0.0</v>
      </c>
      <c r="E20" s="37">
        <v>0.0</v>
      </c>
      <c r="F20" s="107">
        <f t="shared" si="2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5" t="s">
        <v>134</v>
      </c>
      <c r="C21" s="36" t="s">
        <v>128</v>
      </c>
      <c r="D21" s="95">
        <v>0.0</v>
      </c>
      <c r="E21" s="37">
        <v>0.0</v>
      </c>
      <c r="F21" s="107">
        <f t="shared" si="2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5" t="s">
        <v>135</v>
      </c>
      <c r="C22" s="36" t="s">
        <v>115</v>
      </c>
      <c r="D22" s="95">
        <v>0.0</v>
      </c>
      <c r="E22" s="37">
        <v>0.0</v>
      </c>
      <c r="F22" s="107">
        <f t="shared" si="2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5" t="s">
        <v>136</v>
      </c>
      <c r="C23" s="36" t="s">
        <v>29</v>
      </c>
      <c r="D23" s="95">
        <v>0.0</v>
      </c>
      <c r="E23" s="37">
        <v>0.0</v>
      </c>
      <c r="F23" s="107">
        <f t="shared" si="2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5" t="s">
        <v>137</v>
      </c>
      <c r="C24" s="36" t="s">
        <v>29</v>
      </c>
      <c r="D24" s="95">
        <v>0.0</v>
      </c>
      <c r="E24" s="37">
        <v>0.0</v>
      </c>
      <c r="F24" s="107">
        <f t="shared" si="2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5" t="s">
        <v>138</v>
      </c>
      <c r="C25" s="36" t="s">
        <v>29</v>
      </c>
      <c r="D25" s="95">
        <v>0.0</v>
      </c>
      <c r="E25" s="37">
        <v>0.0</v>
      </c>
      <c r="F25" s="107">
        <f t="shared" si="2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5" t="s">
        <v>139</v>
      </c>
      <c r="C26" s="36" t="s">
        <v>29</v>
      </c>
      <c r="D26" s="95">
        <v>0.0</v>
      </c>
      <c r="E26" s="37">
        <v>0.0</v>
      </c>
      <c r="F26" s="107">
        <f t="shared" si="2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64" t="s">
        <v>140</v>
      </c>
      <c r="C27" s="65" t="s">
        <v>29</v>
      </c>
      <c r="D27" s="115">
        <v>0.0</v>
      </c>
      <c r="E27" s="116">
        <v>0.0</v>
      </c>
      <c r="F27" s="118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26" t="s">
        <v>141</v>
      </c>
      <c r="C28" s="31"/>
      <c r="D28" s="31"/>
      <c r="E28" s="3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54" t="s">
        <v>106</v>
      </c>
      <c r="C29" s="55" t="s">
        <v>29</v>
      </c>
      <c r="D29" s="84">
        <v>2.0</v>
      </c>
      <c r="E29" s="111">
        <v>1093.88</v>
      </c>
      <c r="F29" s="112">
        <f t="shared" ref="F29:F41" si="3">E29*D29</f>
        <v>2187.76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5" t="s">
        <v>147</v>
      </c>
      <c r="C30" s="36" t="s">
        <v>29</v>
      </c>
      <c r="D30" s="95">
        <v>1.0</v>
      </c>
      <c r="E30" s="37">
        <v>689.0</v>
      </c>
      <c r="F30" s="107">
        <f t="shared" si="3"/>
        <v>689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5" t="s">
        <v>148</v>
      </c>
      <c r="C31" s="36" t="s">
        <v>29</v>
      </c>
      <c r="D31" s="95">
        <v>1.0</v>
      </c>
      <c r="E31" s="37">
        <v>284.28</v>
      </c>
      <c r="F31" s="107">
        <f t="shared" si="3"/>
        <v>284.28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28" t="s">
        <v>153</v>
      </c>
      <c r="C32" s="55" t="s">
        <v>29</v>
      </c>
      <c r="D32" s="84">
        <v>2.0</v>
      </c>
      <c r="E32" s="111">
        <v>219.45</v>
      </c>
      <c r="F32" s="112">
        <f t="shared" si="3"/>
        <v>438.9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5" t="s">
        <v>145</v>
      </c>
      <c r="C33" s="36" t="s">
        <v>29</v>
      </c>
      <c r="D33" s="95">
        <v>1.0</v>
      </c>
      <c r="E33" s="37">
        <v>138.0</v>
      </c>
      <c r="F33" s="129">
        <f t="shared" si="3"/>
        <v>138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9" t="s">
        <v>108</v>
      </c>
      <c r="C34" s="36" t="s">
        <v>29</v>
      </c>
      <c r="D34" s="95">
        <v>2.0</v>
      </c>
      <c r="E34" s="37">
        <v>19.9</v>
      </c>
      <c r="F34" s="107">
        <f t="shared" si="3"/>
        <v>39.8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9" t="s">
        <v>161</v>
      </c>
      <c r="C35" s="36" t="s">
        <v>29</v>
      </c>
      <c r="D35" s="95">
        <v>1.0</v>
      </c>
      <c r="E35" s="37">
        <v>251.9</v>
      </c>
      <c r="F35" s="107">
        <f t="shared" si="3"/>
        <v>251.9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9" t="s">
        <v>112</v>
      </c>
      <c r="C36" s="36" t="s">
        <v>29</v>
      </c>
      <c r="D36" s="95">
        <v>3.0</v>
      </c>
      <c r="E36" s="37">
        <v>1400.0</v>
      </c>
      <c r="F36" s="107">
        <f t="shared" si="3"/>
        <v>4200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9" t="s">
        <v>146</v>
      </c>
      <c r="C37" s="95" t="s">
        <v>29</v>
      </c>
      <c r="D37" s="95">
        <v>10.0</v>
      </c>
      <c r="E37" s="37">
        <v>698.49</v>
      </c>
      <c r="F37" s="107">
        <f t="shared" si="3"/>
        <v>6984.9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9" t="s">
        <v>118</v>
      </c>
      <c r="C38" s="36" t="s">
        <v>29</v>
      </c>
      <c r="D38" s="95">
        <v>2.0</v>
      </c>
      <c r="E38" s="37">
        <v>3200.0</v>
      </c>
      <c r="F38" s="107">
        <f t="shared" si="3"/>
        <v>6400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31" t="s">
        <v>142</v>
      </c>
      <c r="C39" s="115" t="s">
        <v>29</v>
      </c>
      <c r="D39" s="115">
        <v>1.0</v>
      </c>
      <c r="E39" s="116">
        <v>1694.0</v>
      </c>
      <c r="F39" s="107">
        <f t="shared" si="3"/>
        <v>1694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32"/>
      <c r="X39" s="1"/>
      <c r="Y39" s="1"/>
      <c r="Z39" s="1"/>
    </row>
    <row r="40" ht="15.75" customHeight="1">
      <c r="A40" s="1"/>
      <c r="B40" s="131" t="s">
        <v>143</v>
      </c>
      <c r="C40" s="115" t="s">
        <v>29</v>
      </c>
      <c r="D40" s="115">
        <v>2.0</v>
      </c>
      <c r="E40" s="116">
        <v>55.0</v>
      </c>
      <c r="F40" s="107">
        <f t="shared" si="3"/>
        <v>110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32"/>
      <c r="X40" s="1"/>
      <c r="Y40" s="1"/>
      <c r="Z40" s="1"/>
    </row>
    <row r="41" ht="15.75" customHeight="1">
      <c r="A41" s="1"/>
      <c r="B41" s="131" t="s">
        <v>145</v>
      </c>
      <c r="C41" s="65" t="s">
        <v>29</v>
      </c>
      <c r="D41" s="115">
        <v>2.0</v>
      </c>
      <c r="E41" s="116">
        <v>138.0</v>
      </c>
      <c r="F41" s="118">
        <f t="shared" si="3"/>
        <v>276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32">
        <f>E56</f>
        <v>71875.34</v>
      </c>
      <c r="X41" s="1"/>
      <c r="Y41" s="1"/>
      <c r="Z41" s="1"/>
    </row>
    <row r="42" ht="15.75" customHeight="1">
      <c r="A42" s="1"/>
      <c r="B42" s="16" t="s">
        <v>162</v>
      </c>
      <c r="C42" s="31"/>
      <c r="D42" s="31"/>
      <c r="E42" s="3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5" t="s">
        <v>163</v>
      </c>
      <c r="C43" s="36" t="s">
        <v>164</v>
      </c>
      <c r="D43" s="95">
        <v>0.0</v>
      </c>
      <c r="E43" s="37">
        <v>0.0</v>
      </c>
      <c r="F43" s="107">
        <f t="shared" ref="F43:F45" si="4">E43*D43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35" t="s">
        <v>165</v>
      </c>
      <c r="C44" s="36" t="s">
        <v>164</v>
      </c>
      <c r="D44" s="95">
        <v>0.0</v>
      </c>
      <c r="E44" s="37">
        <v>0.0</v>
      </c>
      <c r="F44" s="107">
        <f t="shared" si="4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64" t="s">
        <v>166</v>
      </c>
      <c r="C45" s="65" t="s">
        <v>167</v>
      </c>
      <c r="D45" s="115">
        <v>0.0</v>
      </c>
      <c r="E45" s="116">
        <v>0.0</v>
      </c>
      <c r="F45" s="118">
        <f t="shared" si="4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33" t="s">
        <v>169</v>
      </c>
      <c r="C46" s="31"/>
      <c r="D46" s="31"/>
      <c r="E46" s="3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35" t="s">
        <v>171</v>
      </c>
      <c r="C47" s="36" t="s">
        <v>29</v>
      </c>
      <c r="D47" s="95">
        <v>0.0</v>
      </c>
      <c r="E47" s="37">
        <v>0.0</v>
      </c>
      <c r="F47" s="107">
        <f t="shared" ref="F47:F52" si="5">E47*D47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35" t="s">
        <v>172</v>
      </c>
      <c r="C48" s="36" t="s">
        <v>29</v>
      </c>
      <c r="D48" s="95">
        <v>1.0</v>
      </c>
      <c r="E48" s="37">
        <v>2000.0</v>
      </c>
      <c r="F48" s="107">
        <f t="shared" si="5"/>
        <v>2000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35" t="s">
        <v>175</v>
      </c>
      <c r="C49" s="36" t="s">
        <v>29</v>
      </c>
      <c r="D49" s="95">
        <v>0.0</v>
      </c>
      <c r="E49" s="37">
        <v>0.0</v>
      </c>
      <c r="F49" s="107">
        <f t="shared" si="5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35" t="s">
        <v>86</v>
      </c>
      <c r="C50" s="36" t="s">
        <v>29</v>
      </c>
      <c r="D50" s="95">
        <v>0.0</v>
      </c>
      <c r="E50" s="37">
        <v>0.0</v>
      </c>
      <c r="F50" s="107">
        <f t="shared" si="5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5" t="s">
        <v>87</v>
      </c>
      <c r="C51" s="36" t="s">
        <v>29</v>
      </c>
      <c r="D51" s="95">
        <v>0.0</v>
      </c>
      <c r="E51" s="37">
        <v>0.0</v>
      </c>
      <c r="F51" s="107">
        <f t="shared" si="5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4" t="s">
        <v>92</v>
      </c>
      <c r="C52" s="65" t="s">
        <v>29</v>
      </c>
      <c r="D52" s="115">
        <v>0.0</v>
      </c>
      <c r="E52" s="116">
        <v>0.0</v>
      </c>
      <c r="F52" s="118">
        <f t="shared" si="5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6" t="s">
        <v>178</v>
      </c>
      <c r="C53" s="31"/>
      <c r="D53" s="31"/>
      <c r="E53" s="3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42" t="s">
        <v>179</v>
      </c>
      <c r="C54" s="43" t="s">
        <v>180</v>
      </c>
      <c r="D54" s="134">
        <v>0.0</v>
      </c>
      <c r="E54" s="135">
        <v>0.0</v>
      </c>
      <c r="F54" s="136">
        <f>IF(C54="%",(D54/100*E54),E54*D54)</f>
        <v>0</v>
      </c>
      <c r="G54" s="1"/>
      <c r="H54" s="1"/>
      <c r="I54" s="1"/>
      <c r="J54" s="13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37"/>
      <c r="C55" s="137"/>
      <c r="D55" s="137"/>
      <c r="E55" s="137"/>
      <c r="F55" s="13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38" t="s">
        <v>181</v>
      </c>
      <c r="C56" s="31"/>
      <c r="D56" s="5"/>
      <c r="E56" s="139">
        <f>SUM(F5:F8,F10:F27,F29:F41,F43:F45,F47:F52,F54)</f>
        <v>71875.34</v>
      </c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B56:D56"/>
    <mergeCell ref="E56:F56"/>
    <mergeCell ref="B2:F2"/>
    <mergeCell ref="B4:F4"/>
    <mergeCell ref="B9:F9"/>
    <mergeCell ref="B28:F28"/>
    <mergeCell ref="B42:F42"/>
    <mergeCell ref="B46:F46"/>
    <mergeCell ref="B53:F53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8.0"/>
    <col customWidth="1" min="2" max="2" width="26.5"/>
    <col customWidth="1" min="3" max="3" width="8.25"/>
    <col customWidth="1" min="4" max="4" width="11.13"/>
    <col customWidth="1" min="5" max="5" width="15.88"/>
    <col customWidth="1" min="6" max="6" width="16.5"/>
    <col customWidth="1" min="7" max="7" width="11.75"/>
    <col customWidth="1" min="8" max="9" width="8.0"/>
    <col customWidth="1" min="10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79</v>
      </c>
      <c r="C3" s="31"/>
      <c r="D3" s="31"/>
      <c r="E3" s="31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98" t="s">
        <v>80</v>
      </c>
      <c r="C4" s="31"/>
      <c r="D4" s="31"/>
      <c r="E4" s="31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8" t="s">
        <v>15</v>
      </c>
      <c r="C5" s="18" t="s">
        <v>16</v>
      </c>
      <c r="D5" s="18" t="s">
        <v>82</v>
      </c>
      <c r="E5" s="18" t="s">
        <v>83</v>
      </c>
      <c r="F5" s="19" t="s">
        <v>84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9" t="s">
        <v>88</v>
      </c>
      <c r="C6" s="55" t="s">
        <v>37</v>
      </c>
      <c r="D6" s="110">
        <f>IF('Dados gerais'!C8="Sim",IF('Parâmetros Recria'!D19&gt;0,SUM('Parâmetros Recria'!D19:M19),SUM('Parâmetros Monofásico'!D19:M19)),0)</f>
        <v>0</v>
      </c>
      <c r="E6" s="111">
        <v>0.0</v>
      </c>
      <c r="F6" s="112">
        <f>IF('Dados gerais'!C8="não",0,'Inventário'!D6*'Inventário'!E6)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3" t="s">
        <v>89</v>
      </c>
      <c r="C7" s="36" t="s">
        <v>37</v>
      </c>
      <c r="D7" s="70">
        <f>IF('Dados gerais'!C8="Não",IF('Parâmetros Recria'!D19&gt;0,SUM('Parâmetros Recria'!D19:M19,'Parâmetros Engorda'!D19:M19,'Parâmetros Terminação'!D19:M19),SUM('Parâmetros Monofásico'!D19:M19)),0)</f>
        <v>0.036</v>
      </c>
      <c r="E7" s="37">
        <v>200000.0</v>
      </c>
      <c r="F7" s="107">
        <f t="shared" ref="F7:F8" si="1">E7*D7</f>
        <v>7200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13" t="s">
        <v>90</v>
      </c>
      <c r="C8" s="36" t="s">
        <v>37</v>
      </c>
      <c r="D8" s="95">
        <v>0.0</v>
      </c>
      <c r="E8" s="37">
        <v>0.0</v>
      </c>
      <c r="F8" s="107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14" t="s">
        <v>91</v>
      </c>
      <c r="C9" s="65" t="s">
        <v>37</v>
      </c>
      <c r="D9" s="117">
        <f>SUM(D6:D8)</f>
        <v>0.036</v>
      </c>
      <c r="E9" s="116">
        <v>200000.0</v>
      </c>
      <c r="F9" s="118">
        <f>SUM(F6:F8)</f>
        <v>7200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98" t="s">
        <v>93</v>
      </c>
      <c r="C10" s="31"/>
      <c r="D10" s="31"/>
      <c r="E10" s="31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08" t="s">
        <v>15</v>
      </c>
      <c r="C11" s="18" t="s">
        <v>16</v>
      </c>
      <c r="D11" s="18" t="s">
        <v>82</v>
      </c>
      <c r="E11" s="18" t="s">
        <v>94</v>
      </c>
      <c r="F11" s="19" t="s">
        <v>95</v>
      </c>
      <c r="G11" s="4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09" t="s">
        <v>96</v>
      </c>
      <c r="C12" s="55" t="s">
        <v>29</v>
      </c>
      <c r="D12" s="84">
        <v>0.0</v>
      </c>
      <c r="E12" s="111">
        <v>0.0</v>
      </c>
      <c r="F12" s="119">
        <v>0.0</v>
      </c>
      <c r="G12" s="120"/>
      <c r="H12" s="1"/>
      <c r="I12" s="12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13" t="s">
        <v>97</v>
      </c>
      <c r="C13" s="36" t="s">
        <v>29</v>
      </c>
      <c r="D13" s="95">
        <v>0.0</v>
      </c>
      <c r="E13" s="37">
        <v>0.0</v>
      </c>
      <c r="F13" s="121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13" t="s">
        <v>98</v>
      </c>
      <c r="C14" s="36" t="s">
        <v>29</v>
      </c>
      <c r="D14" s="95">
        <v>0.0</v>
      </c>
      <c r="E14" s="37">
        <v>0.0</v>
      </c>
      <c r="F14" s="121">
        <v>0.0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13" t="s">
        <v>99</v>
      </c>
      <c r="C15" s="36" t="s">
        <v>29</v>
      </c>
      <c r="D15" s="95">
        <v>0.0</v>
      </c>
      <c r="E15" s="37">
        <v>0.0</v>
      </c>
      <c r="F15" s="121">
        <v>0.0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13" t="s">
        <v>100</v>
      </c>
      <c r="C16" s="36" t="s">
        <v>29</v>
      </c>
      <c r="D16" s="95">
        <v>0.0</v>
      </c>
      <c r="E16" s="37">
        <v>0.0</v>
      </c>
      <c r="F16" s="121">
        <v>0.0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13" t="s">
        <v>101</v>
      </c>
      <c r="C17" s="36" t="s">
        <v>29</v>
      </c>
      <c r="D17" s="95">
        <v>0.0</v>
      </c>
      <c r="E17" s="37">
        <v>0.0</v>
      </c>
      <c r="F17" s="121">
        <v>0.0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13" t="s">
        <v>102</v>
      </c>
      <c r="C18" s="36" t="s">
        <v>29</v>
      </c>
      <c r="D18" s="95">
        <v>0.0</v>
      </c>
      <c r="E18" s="37">
        <v>0.0</v>
      </c>
      <c r="F18" s="121">
        <v>0.0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13" t="s">
        <v>86</v>
      </c>
      <c r="C19" s="36" t="s">
        <v>29</v>
      </c>
      <c r="D19" s="95">
        <v>0.0</v>
      </c>
      <c r="E19" s="37">
        <v>0.0</v>
      </c>
      <c r="F19" s="121">
        <v>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13" t="s">
        <v>87</v>
      </c>
      <c r="C20" s="36" t="s">
        <v>29</v>
      </c>
      <c r="D20" s="95">
        <v>0.0</v>
      </c>
      <c r="E20" s="37">
        <v>0.0</v>
      </c>
      <c r="F20" s="121">
        <v>0.0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13" t="s">
        <v>92</v>
      </c>
      <c r="C21" s="36" t="s">
        <v>29</v>
      </c>
      <c r="D21" s="95">
        <v>0.0</v>
      </c>
      <c r="E21" s="37">
        <v>0.0</v>
      </c>
      <c r="F21" s="121">
        <v>0.0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13" t="s">
        <v>103</v>
      </c>
      <c r="C22" s="36" t="s">
        <v>29</v>
      </c>
      <c r="D22" s="95">
        <v>0.0</v>
      </c>
      <c r="E22" s="37">
        <v>0.0</v>
      </c>
      <c r="F22" s="121">
        <v>0.0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14" t="s">
        <v>104</v>
      </c>
      <c r="C23" s="65" t="s">
        <v>29</v>
      </c>
      <c r="D23" s="115">
        <v>0.0</v>
      </c>
      <c r="E23" s="116">
        <v>0.0</v>
      </c>
      <c r="F23" s="122">
        <v>0.0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23" t="s">
        <v>105</v>
      </c>
      <c r="C24" s="31"/>
      <c r="D24" s="31"/>
      <c r="E24" s="3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13" t="s">
        <v>106</v>
      </c>
      <c r="C25" s="36" t="s">
        <v>29</v>
      </c>
      <c r="D25" s="95">
        <v>2.0</v>
      </c>
      <c r="E25" s="37">
        <v>1093.88</v>
      </c>
      <c r="F25" s="124">
        <v>5.0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13" t="s">
        <v>107</v>
      </c>
      <c r="C26" s="36" t="s">
        <v>29</v>
      </c>
      <c r="D26" s="95">
        <v>1.0</v>
      </c>
      <c r="E26" s="37">
        <v>689.0</v>
      </c>
      <c r="F26" s="124">
        <v>10.0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13" t="s">
        <v>108</v>
      </c>
      <c r="C27" s="36" t="s">
        <v>29</v>
      </c>
      <c r="D27" s="95">
        <v>2.0</v>
      </c>
      <c r="E27" s="37">
        <v>19.9</v>
      </c>
      <c r="F27" s="124">
        <v>5.0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13" t="s">
        <v>109</v>
      </c>
      <c r="C28" s="36" t="s">
        <v>29</v>
      </c>
      <c r="D28" s="95">
        <v>1.0</v>
      </c>
      <c r="E28" s="37">
        <v>251.9</v>
      </c>
      <c r="F28" s="124">
        <v>30.0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13" t="s">
        <v>110</v>
      </c>
      <c r="C29" s="36" t="s">
        <v>29</v>
      </c>
      <c r="D29" s="95">
        <v>2.0</v>
      </c>
      <c r="E29" s="37">
        <v>219.45</v>
      </c>
      <c r="F29" s="124">
        <v>10.0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13" t="s">
        <v>112</v>
      </c>
      <c r="C30" s="36" t="s">
        <v>29</v>
      </c>
      <c r="D30" s="95">
        <v>3.0</v>
      </c>
      <c r="E30" s="37">
        <v>1400.0</v>
      </c>
      <c r="F30" s="124">
        <v>40.0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25" t="s">
        <v>114</v>
      </c>
      <c r="C31" s="95" t="s">
        <v>115</v>
      </c>
      <c r="D31" s="95">
        <v>100.0</v>
      </c>
      <c r="E31" s="37">
        <v>2.3</v>
      </c>
      <c r="F31" s="124">
        <v>20.0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25" t="s">
        <v>116</v>
      </c>
      <c r="C32" s="95" t="s">
        <v>29</v>
      </c>
      <c r="D32" s="95">
        <v>1.0</v>
      </c>
      <c r="E32" s="37">
        <v>1842.05</v>
      </c>
      <c r="F32" s="124">
        <v>15.0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25" t="s">
        <v>118</v>
      </c>
      <c r="C33" s="36" t="s">
        <v>29</v>
      </c>
      <c r="D33" s="95">
        <v>2.0</v>
      </c>
      <c r="E33" s="37">
        <v>3200.0</v>
      </c>
      <c r="F33" s="124">
        <v>15.0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25" t="s">
        <v>120</v>
      </c>
      <c r="C34" s="36" t="s">
        <v>29</v>
      </c>
      <c r="D34" s="95">
        <v>1.0</v>
      </c>
      <c r="E34" s="37">
        <v>284.28</v>
      </c>
      <c r="F34" s="124">
        <v>5.0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25" t="s">
        <v>142</v>
      </c>
      <c r="C35" s="36" t="s">
        <v>29</v>
      </c>
      <c r="D35" s="95">
        <v>1.0</v>
      </c>
      <c r="E35" s="37">
        <v>1694.0</v>
      </c>
      <c r="F35" s="124">
        <v>10.0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25" t="s">
        <v>143</v>
      </c>
      <c r="C36" s="36" t="s">
        <v>29</v>
      </c>
      <c r="D36" s="95">
        <v>2.0</v>
      </c>
      <c r="E36" s="37">
        <v>55.0</v>
      </c>
      <c r="F36" s="124">
        <v>8.0</v>
      </c>
      <c r="G36" s="1"/>
      <c r="H36" s="1"/>
      <c r="I36" s="127" t="s">
        <v>144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25" t="s">
        <v>145</v>
      </c>
      <c r="C37" s="36" t="s">
        <v>29</v>
      </c>
      <c r="D37" s="95">
        <v>2.0</v>
      </c>
      <c r="E37" s="37">
        <v>138.0</v>
      </c>
      <c r="F37" s="124">
        <v>8.0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25" t="s">
        <v>146</v>
      </c>
      <c r="C38" s="36" t="s">
        <v>29</v>
      </c>
      <c r="D38" s="95">
        <v>10.0</v>
      </c>
      <c r="E38" s="37">
        <v>698.49</v>
      </c>
      <c r="F38" s="124">
        <v>8.0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13" t="s">
        <v>149</v>
      </c>
      <c r="C39" s="36" t="s">
        <v>29</v>
      </c>
      <c r="D39" s="95">
        <v>0.0</v>
      </c>
      <c r="E39" s="37">
        <v>0.0</v>
      </c>
      <c r="F39" s="124">
        <v>0.0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25" t="s">
        <v>150</v>
      </c>
      <c r="C40" s="36" t="s">
        <v>29</v>
      </c>
      <c r="D40" s="95">
        <v>0.0</v>
      </c>
      <c r="E40" s="37">
        <v>0.0</v>
      </c>
      <c r="F40" s="124">
        <v>0.0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25" t="s">
        <v>151</v>
      </c>
      <c r="C41" s="36" t="s">
        <v>29</v>
      </c>
      <c r="D41" s="95">
        <v>0.0</v>
      </c>
      <c r="E41" s="37">
        <v>0.0</v>
      </c>
      <c r="F41" s="124">
        <v>0.0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13" t="s">
        <v>152</v>
      </c>
      <c r="C42" s="36" t="s">
        <v>29</v>
      </c>
      <c r="D42" s="95">
        <v>0.0</v>
      </c>
      <c r="E42" s="37">
        <v>0.0</v>
      </c>
      <c r="F42" s="124">
        <v>0.0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25" t="s">
        <v>154</v>
      </c>
      <c r="C43" s="36" t="s">
        <v>29</v>
      </c>
      <c r="D43" s="95">
        <v>0.0</v>
      </c>
      <c r="E43" s="37">
        <v>0.0</v>
      </c>
      <c r="F43" s="124">
        <v>0.0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13" t="s">
        <v>155</v>
      </c>
      <c r="C44" s="36" t="s">
        <v>29</v>
      </c>
      <c r="D44" s="95">
        <v>0.0</v>
      </c>
      <c r="E44" s="37">
        <v>0.0</v>
      </c>
      <c r="F44" s="124">
        <v>0.0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13" t="s">
        <v>156</v>
      </c>
      <c r="C45" s="36" t="s">
        <v>29</v>
      </c>
      <c r="D45" s="95">
        <v>0.0</v>
      </c>
      <c r="E45" s="37">
        <v>0.0</v>
      </c>
      <c r="F45" s="124">
        <v>0.0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13" t="s">
        <v>157</v>
      </c>
      <c r="C46" s="36" t="s">
        <v>29</v>
      </c>
      <c r="D46" s="95">
        <v>0.0</v>
      </c>
      <c r="E46" s="37">
        <v>0.0</v>
      </c>
      <c r="F46" s="124">
        <v>0.0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13" t="s">
        <v>158</v>
      </c>
      <c r="C47" s="36" t="s">
        <v>29</v>
      </c>
      <c r="D47" s="95">
        <v>0.0</v>
      </c>
      <c r="E47" s="37">
        <v>0.0</v>
      </c>
      <c r="F47" s="124">
        <v>0.0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13" t="s">
        <v>159</v>
      </c>
      <c r="C48" s="65" t="s">
        <v>29</v>
      </c>
      <c r="D48" s="115">
        <v>0.0</v>
      </c>
      <c r="E48" s="116">
        <v>0.0</v>
      </c>
      <c r="F48" s="130">
        <v>0.0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98" t="s">
        <v>160</v>
      </c>
      <c r="C49" s="31"/>
      <c r="D49" s="31"/>
      <c r="E49" s="3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25" t="s">
        <v>168</v>
      </c>
      <c r="C50" s="36" t="s">
        <v>49</v>
      </c>
      <c r="D50" s="95">
        <v>5.0</v>
      </c>
      <c r="E50" s="37">
        <v>300.0</v>
      </c>
      <c r="F50" s="124">
        <v>100.0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25" t="s">
        <v>170</v>
      </c>
      <c r="C51" s="36" t="s">
        <v>49</v>
      </c>
      <c r="D51" s="95">
        <v>5.0</v>
      </c>
      <c r="E51" s="37">
        <v>300.0</v>
      </c>
      <c r="F51" s="124">
        <v>100.0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25" t="s">
        <v>117</v>
      </c>
      <c r="C52" s="36" t="s">
        <v>49</v>
      </c>
      <c r="D52" s="95">
        <v>600.0</v>
      </c>
      <c r="E52" s="37">
        <v>6.7</v>
      </c>
      <c r="F52" s="124">
        <v>30.0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25" t="s">
        <v>121</v>
      </c>
      <c r="C53" s="95" t="s">
        <v>29</v>
      </c>
      <c r="D53" s="95">
        <v>1.0</v>
      </c>
      <c r="E53" s="37">
        <v>740.0</v>
      </c>
      <c r="F53" s="124">
        <v>70.0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25" t="s">
        <v>173</v>
      </c>
      <c r="C54" s="36" t="s">
        <v>49</v>
      </c>
      <c r="D54" s="95">
        <v>0.0</v>
      </c>
      <c r="E54" s="37">
        <v>0.0</v>
      </c>
      <c r="F54" s="124">
        <v>0.0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13" t="s">
        <v>174</v>
      </c>
      <c r="C55" s="36" t="s">
        <v>49</v>
      </c>
      <c r="D55" s="95">
        <v>0.0</v>
      </c>
      <c r="E55" s="37">
        <v>0.0</v>
      </c>
      <c r="F55" s="124">
        <v>0.0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13" t="s">
        <v>176</v>
      </c>
      <c r="C56" s="36" t="s">
        <v>49</v>
      </c>
      <c r="D56" s="95">
        <v>0.0</v>
      </c>
      <c r="E56" s="37">
        <v>0.0</v>
      </c>
      <c r="F56" s="124">
        <v>0.0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13" t="s">
        <v>177</v>
      </c>
      <c r="C57" s="36" t="s">
        <v>49</v>
      </c>
      <c r="D57" s="95">
        <v>0.0</v>
      </c>
      <c r="E57" s="37">
        <v>0.0</v>
      </c>
      <c r="F57" s="124">
        <v>0.0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13" t="s">
        <v>38</v>
      </c>
      <c r="C58" s="36" t="s">
        <v>49</v>
      </c>
      <c r="D58" s="70">
        <f>IF('Parâmetros Terminação'!AA3&gt;'Parâmetros Monofásico'!D5,'Parâmetros Terminação'!AA3,'Parâmetros Monofásico'!D5)</f>
        <v>36</v>
      </c>
      <c r="E58" s="37">
        <v>56.78</v>
      </c>
      <c r="F58" s="124">
        <v>30.0</v>
      </c>
      <c r="G58" s="13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13" t="s">
        <v>39</v>
      </c>
      <c r="C59" s="36" t="s">
        <v>49</v>
      </c>
      <c r="D59" s="70">
        <f>IF('Parâmetros Terminação'!AB3&gt;'Parâmetros Monofásico'!E5,'Parâmetros Terminação'!AB3,'Parâmetros Monofásico'!E5)</f>
        <v>36</v>
      </c>
      <c r="E59" s="37">
        <v>56.78</v>
      </c>
      <c r="F59" s="124">
        <v>30.0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13" t="s">
        <v>40</v>
      </c>
      <c r="C60" s="36" t="s">
        <v>49</v>
      </c>
      <c r="D60" s="70">
        <f>IF('Parâmetros Terminação'!AC3&gt;'Parâmetros Monofásico'!F5,'Parâmetros Terminação'!AC3,'Parâmetros Monofásico'!F5)</f>
        <v>36</v>
      </c>
      <c r="E60" s="37">
        <v>56.78</v>
      </c>
      <c r="F60" s="124">
        <v>30.0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13" t="s">
        <v>41</v>
      </c>
      <c r="C61" s="36" t="s">
        <v>49</v>
      </c>
      <c r="D61" s="70">
        <f>IF('Parâmetros Terminação'!AD3&gt;'Parâmetros Monofásico'!G5,'Parâmetros Terminação'!AD3,'Parâmetros Monofásico'!G5)</f>
        <v>36</v>
      </c>
      <c r="E61" s="37">
        <v>56.78</v>
      </c>
      <c r="F61" s="124">
        <v>30.0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13" t="s">
        <v>42</v>
      </c>
      <c r="C62" s="36" t="s">
        <v>49</v>
      </c>
      <c r="D62" s="70">
        <f>IF('Parâmetros Terminação'!AE3&gt;'Parâmetros Monofásico'!H5,'Parâmetros Terminação'!AE3,'Parâmetros Monofásico'!H5)</f>
        <v>36</v>
      </c>
      <c r="E62" s="37">
        <v>56.78</v>
      </c>
      <c r="F62" s="124">
        <v>30.0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13" t="s">
        <v>43</v>
      </c>
      <c r="C63" s="36" t="s">
        <v>49</v>
      </c>
      <c r="D63" s="70">
        <f>IF('Parâmetros Terminação'!AF3&gt;'Parâmetros Monofásico'!I5,'Parâmetros Terminação'!AF3,'Parâmetros Monofásico'!I5)</f>
        <v>36</v>
      </c>
      <c r="E63" s="37">
        <v>56.78</v>
      </c>
      <c r="F63" s="124">
        <v>30.0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13" t="s">
        <v>44</v>
      </c>
      <c r="C64" s="36" t="s">
        <v>49</v>
      </c>
      <c r="D64" s="70">
        <f>IF('Parâmetros Terminação'!AG3&gt;'Parâmetros Monofásico'!J5,'Parâmetros Terminação'!AG3,'Parâmetros Monofásico'!J5)</f>
        <v>36</v>
      </c>
      <c r="E64" s="37">
        <v>56.78</v>
      </c>
      <c r="F64" s="124">
        <v>30.0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13" t="s">
        <v>45</v>
      </c>
      <c r="C65" s="36" t="s">
        <v>49</v>
      </c>
      <c r="D65" s="70">
        <f>IF('Parâmetros Terminação'!AH3&gt;'Parâmetros Monofásico'!K5,'Parâmetros Terminação'!AH3,'Parâmetros Monofásico'!K5)</f>
        <v>36</v>
      </c>
      <c r="E65" s="37">
        <v>56.78</v>
      </c>
      <c r="F65" s="124">
        <v>30.0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13" t="s">
        <v>46</v>
      </c>
      <c r="C66" s="36" t="s">
        <v>49</v>
      </c>
      <c r="D66" s="70">
        <f>IF('Parâmetros Terminação'!AI3&gt;'Parâmetros Monofásico'!L5,'Parâmetros Terminação'!AI3,'Parâmetros Monofásico'!L5)</f>
        <v>36</v>
      </c>
      <c r="E66" s="37">
        <v>56.78</v>
      </c>
      <c r="F66" s="124">
        <v>30.0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40" t="s">
        <v>47</v>
      </c>
      <c r="C67" s="43" t="s">
        <v>49</v>
      </c>
      <c r="D67" s="79">
        <f>IF('Parâmetros Terminação'!AJ3&gt;'Parâmetros Monofásico'!M5,'Parâmetros Terminação'!AJ3,'Parâmetros Monofásico'!M5)</f>
        <v>36</v>
      </c>
      <c r="E67" s="135">
        <v>56.78</v>
      </c>
      <c r="F67" s="141">
        <v>30.0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42"/>
      <c r="C68" s="142"/>
      <c r="D68" s="137"/>
      <c r="E68" s="137"/>
      <c r="F68" s="13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38" t="s">
        <v>182</v>
      </c>
      <c r="C69" s="31"/>
      <c r="D69" s="31"/>
      <c r="E69" s="17"/>
      <c r="F69" s="143">
        <f>'Custos fixos'!T64+'Custos fixos'!T65</f>
        <v>61029.39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3:F3"/>
    <mergeCell ref="B4:F4"/>
    <mergeCell ref="B10:F10"/>
    <mergeCell ref="B24:F24"/>
    <mergeCell ref="B49:F49"/>
    <mergeCell ref="B69:E69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0"/>
    <col customWidth="1" min="2" max="2" width="3.13"/>
    <col customWidth="1" min="3" max="3" width="20.5"/>
    <col customWidth="1" min="4" max="4" width="12.63"/>
    <col customWidth="1" min="5" max="5" width="16.38"/>
    <col customWidth="1" min="6" max="6" width="10.88"/>
    <col customWidth="1" min="7" max="7" width="12.88"/>
    <col customWidth="1" min="8" max="8" width="8.13"/>
    <col customWidth="1" min="9" max="10" width="8.0"/>
    <col customWidth="1" min="11" max="11" width="9.63"/>
    <col customWidth="1" min="12" max="12" width="8.0"/>
    <col customWidth="1" min="13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4" t="s">
        <v>183</v>
      </c>
      <c r="D2" s="31"/>
      <c r="E2" s="31"/>
      <c r="F2" s="31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44" t="s">
        <v>184</v>
      </c>
      <c r="D3" s="145" t="s">
        <v>16</v>
      </c>
      <c r="E3" s="145" t="s">
        <v>185</v>
      </c>
      <c r="F3" s="145" t="s">
        <v>186</v>
      </c>
      <c r="G3" s="146" t="s">
        <v>187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6" t="s">
        <v>188</v>
      </c>
      <c r="D4" s="31"/>
      <c r="E4" s="31"/>
      <c r="F4" s="31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47"/>
      <c r="C5" s="148" t="s">
        <v>26</v>
      </c>
      <c r="D5" s="149" t="s">
        <v>132</v>
      </c>
      <c r="E5" s="110">
        <f>IF('Parâmetros Recria'!D7&gt;0,SUM('Parâmetros Recria'!D7:M7),SUM('Parâmetros Monofásico'!D7:M7))/1000</f>
        <v>80</v>
      </c>
      <c r="F5" s="111">
        <v>140.0</v>
      </c>
      <c r="G5" s="112">
        <f t="shared" ref="G5:G8" si="1">F5*E5</f>
        <v>11200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50"/>
      <c r="C6" s="54" t="s">
        <v>189</v>
      </c>
      <c r="D6" s="36" t="s">
        <v>132</v>
      </c>
      <c r="E6" s="95">
        <v>0.0</v>
      </c>
      <c r="F6" s="37">
        <v>0.0</v>
      </c>
      <c r="G6" s="107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1"/>
      <c r="C7" s="54" t="s">
        <v>190</v>
      </c>
      <c r="D7" s="36" t="s">
        <v>132</v>
      </c>
      <c r="E7" s="95">
        <v>0.0</v>
      </c>
      <c r="F7" s="37">
        <v>0.0</v>
      </c>
      <c r="G7" s="107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52"/>
      <c r="C8" s="54" t="s">
        <v>191</v>
      </c>
      <c r="D8" s="36" t="s">
        <v>132</v>
      </c>
      <c r="E8" s="115">
        <v>0.0</v>
      </c>
      <c r="F8" s="116">
        <v>0.0</v>
      </c>
      <c r="G8" s="107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53"/>
      <c r="C9" s="42" t="s">
        <v>192</v>
      </c>
      <c r="D9" s="43" t="s">
        <v>132</v>
      </c>
      <c r="E9" s="154">
        <f>SUM(E5:E8)</f>
        <v>80</v>
      </c>
      <c r="F9" s="44"/>
      <c r="G9" s="155">
        <f>SUM(G5:G8)</f>
        <v>11200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6" t="s">
        <v>193</v>
      </c>
      <c r="D10" s="31"/>
      <c r="E10" s="31"/>
      <c r="F10" s="31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54" t="s">
        <v>194</v>
      </c>
      <c r="D11" s="55" t="s">
        <v>27</v>
      </c>
      <c r="E11" s="68">
        <f>SUM('Parâmetros Recria'!D12:M12)</f>
        <v>0</v>
      </c>
      <c r="F11" s="111">
        <v>0.0</v>
      </c>
      <c r="G11" s="112">
        <f t="shared" ref="G11:G16" si="2">F11*E11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35" t="s">
        <v>195</v>
      </c>
      <c r="D12" s="55" t="s">
        <v>27</v>
      </c>
      <c r="E12" s="70">
        <f>SUM('Parâmetros Engorda'!D12:M12)</f>
        <v>0</v>
      </c>
      <c r="F12" s="37">
        <v>0.0</v>
      </c>
      <c r="G12" s="107">
        <f t="shared" si="2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35" t="s">
        <v>196</v>
      </c>
      <c r="D13" s="55" t="s">
        <v>27</v>
      </c>
      <c r="E13" s="70">
        <f>SUM('Parâmetros Terminação'!D11:M11)</f>
        <v>0</v>
      </c>
      <c r="F13" s="37">
        <v>0.0</v>
      </c>
      <c r="G13" s="107">
        <f t="shared" si="2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64" t="s">
        <v>197</v>
      </c>
      <c r="D14" s="36" t="s">
        <v>27</v>
      </c>
      <c r="E14" s="156">
        <f>IF('Dados gerais'!C9="monofásico",SUM('Parâmetros Monofásico'!D12:M12),0)</f>
        <v>60000</v>
      </c>
      <c r="F14" s="116">
        <v>2.3</v>
      </c>
      <c r="G14" s="118">
        <f t="shared" si="2"/>
        <v>138000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64" t="s">
        <v>198</v>
      </c>
      <c r="D15" s="36" t="s">
        <v>27</v>
      </c>
      <c r="E15" s="66"/>
      <c r="F15" s="157"/>
      <c r="G15" s="118">
        <f t="shared" si="2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64" t="s">
        <v>199</v>
      </c>
      <c r="D16" s="36" t="s">
        <v>27</v>
      </c>
      <c r="E16" s="66"/>
      <c r="F16" s="157"/>
      <c r="G16" s="118">
        <f t="shared" si="2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42" t="s">
        <v>192</v>
      </c>
      <c r="D17" s="43" t="s">
        <v>27</v>
      </c>
      <c r="E17" s="79">
        <f>SUM(E11:E16)</f>
        <v>60000</v>
      </c>
      <c r="F17" s="43"/>
      <c r="G17" s="155">
        <f>SUM(G11:G16)</f>
        <v>138000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6" t="s">
        <v>200</v>
      </c>
      <c r="D18" s="31"/>
      <c r="E18" s="31"/>
      <c r="F18" s="31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54" t="s">
        <v>201</v>
      </c>
      <c r="D19" s="55" t="s">
        <v>202</v>
      </c>
      <c r="E19" s="84">
        <v>0.0</v>
      </c>
      <c r="F19" s="111">
        <v>0.0</v>
      </c>
      <c r="G19" s="112">
        <f t="shared" ref="G19:G22" si="3">F19*E19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5" t="s">
        <v>203</v>
      </c>
      <c r="D20" s="36" t="s">
        <v>202</v>
      </c>
      <c r="E20" s="95">
        <v>0.0</v>
      </c>
      <c r="F20" s="37">
        <v>0.0</v>
      </c>
      <c r="G20" s="107">
        <f t="shared" si="3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5" t="s">
        <v>204</v>
      </c>
      <c r="D21" s="36" t="s">
        <v>202</v>
      </c>
      <c r="E21" s="95">
        <v>0.0</v>
      </c>
      <c r="F21" s="37">
        <v>0.0</v>
      </c>
      <c r="G21" s="107">
        <f t="shared" si="3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64" t="s">
        <v>205</v>
      </c>
      <c r="D22" s="36" t="s">
        <v>202</v>
      </c>
      <c r="E22" s="115">
        <v>0.0</v>
      </c>
      <c r="F22" s="116">
        <v>0.0</v>
      </c>
      <c r="G22" s="107">
        <f t="shared" si="3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6" t="s">
        <v>206</v>
      </c>
      <c r="D23" s="31"/>
      <c r="E23" s="31"/>
      <c r="F23" s="31"/>
      <c r="G23" s="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28" t="s">
        <v>207</v>
      </c>
      <c r="D24" s="55" t="s">
        <v>202</v>
      </c>
      <c r="E24" s="84">
        <v>0.15</v>
      </c>
      <c r="F24" s="111">
        <v>442.8</v>
      </c>
      <c r="G24" s="112">
        <f t="shared" ref="G24:G29" si="4">F24*E24</f>
        <v>66.42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35" t="s">
        <v>208</v>
      </c>
      <c r="D25" s="36" t="s">
        <v>202</v>
      </c>
      <c r="E25" s="95">
        <v>0.0</v>
      </c>
      <c r="F25" s="37">
        <v>0.0</v>
      </c>
      <c r="G25" s="107">
        <f t="shared" si="4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35" t="s">
        <v>209</v>
      </c>
      <c r="D26" s="36" t="s">
        <v>202</v>
      </c>
      <c r="E26" s="95">
        <v>0.0</v>
      </c>
      <c r="F26" s="37">
        <v>0.0</v>
      </c>
      <c r="G26" s="107">
        <f t="shared" si="4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35" t="s">
        <v>210</v>
      </c>
      <c r="D27" s="36" t="s">
        <v>202</v>
      </c>
      <c r="E27" s="95">
        <v>0.0</v>
      </c>
      <c r="F27" s="37">
        <v>0.0</v>
      </c>
      <c r="G27" s="107">
        <f t="shared" si="4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39" t="s">
        <v>211</v>
      </c>
      <c r="D28" s="36" t="s">
        <v>202</v>
      </c>
      <c r="E28" s="95">
        <v>0.0</v>
      </c>
      <c r="F28" s="37">
        <v>0.0</v>
      </c>
      <c r="G28" s="107">
        <f t="shared" si="4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64" t="s">
        <v>87</v>
      </c>
      <c r="D29" s="65" t="s">
        <v>202</v>
      </c>
      <c r="E29" s="115">
        <v>0.0</v>
      </c>
      <c r="F29" s="116">
        <v>0.0</v>
      </c>
      <c r="G29" s="118">
        <f t="shared" si="4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6" t="s">
        <v>212</v>
      </c>
      <c r="D30" s="31"/>
      <c r="E30" s="31"/>
      <c r="F30" s="31"/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02" t="s">
        <v>148</v>
      </c>
      <c r="D31" s="103" t="s">
        <v>29</v>
      </c>
      <c r="E31" s="104">
        <v>1.0</v>
      </c>
      <c r="F31" s="105">
        <v>284.28</v>
      </c>
      <c r="G31" s="106">
        <f>F31*E31</f>
        <v>284.28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6" t="s">
        <v>213</v>
      </c>
      <c r="D32" s="31"/>
      <c r="E32" s="31"/>
      <c r="F32" s="31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54" t="s">
        <v>214</v>
      </c>
      <c r="D33" s="55" t="s">
        <v>215</v>
      </c>
      <c r="E33" s="84">
        <v>12.0</v>
      </c>
      <c r="F33" s="111">
        <v>120.0</v>
      </c>
      <c r="G33" s="112">
        <f>F33*E33</f>
        <v>1440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6" t="s">
        <v>216</v>
      </c>
      <c r="D34" s="31"/>
      <c r="E34" s="31"/>
      <c r="F34" s="31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02" t="s">
        <v>217</v>
      </c>
      <c r="D35" s="103" t="s">
        <v>218</v>
      </c>
      <c r="E35" s="104">
        <v>0.0</v>
      </c>
      <c r="F35" s="105">
        <v>0.0</v>
      </c>
      <c r="G35" s="106">
        <f>F35*E35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6" t="s">
        <v>219</v>
      </c>
      <c r="D36" s="31"/>
      <c r="E36" s="31"/>
      <c r="F36" s="31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54" t="s">
        <v>220</v>
      </c>
      <c r="D37" s="55" t="s">
        <v>29</v>
      </c>
      <c r="E37" s="55"/>
      <c r="F37" s="158"/>
      <c r="G37" s="112">
        <f>F37*E37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35" t="s">
        <v>221</v>
      </c>
      <c r="D38" s="36" t="s">
        <v>20</v>
      </c>
      <c r="E38" s="159">
        <v>0.023</v>
      </c>
      <c r="F38" s="160"/>
      <c r="G38" s="107">
        <f>IFERROR((E38*Receitas!E15),0)</f>
        <v>7507.2</v>
      </c>
      <c r="H38" s="1"/>
      <c r="I38" s="1"/>
      <c r="J38" s="1"/>
      <c r="K38" s="16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64" t="s">
        <v>222</v>
      </c>
      <c r="D39" s="115">
        <v>0.0</v>
      </c>
      <c r="E39" s="162">
        <v>0.0</v>
      </c>
      <c r="F39" s="157"/>
      <c r="G39" s="118">
        <f>F39*E39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" t="s">
        <v>223</v>
      </c>
      <c r="D40" s="31"/>
      <c r="E40" s="31"/>
      <c r="F40" s="31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54" t="s">
        <v>224</v>
      </c>
      <c r="D41" s="55" t="s">
        <v>225</v>
      </c>
      <c r="E41" s="163">
        <v>25000.0</v>
      </c>
      <c r="F41" s="111">
        <v>0.61</v>
      </c>
      <c r="G41" s="112">
        <f t="shared" ref="G41:G48" si="5">F41*E41</f>
        <v>15250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35" t="s">
        <v>226</v>
      </c>
      <c r="D42" s="36" t="s">
        <v>227</v>
      </c>
      <c r="E42" s="82">
        <v>600.0</v>
      </c>
      <c r="F42" s="37">
        <v>4.0</v>
      </c>
      <c r="G42" s="107">
        <f t="shared" si="5"/>
        <v>2400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35" t="s">
        <v>228</v>
      </c>
      <c r="D43" s="36" t="s">
        <v>229</v>
      </c>
      <c r="E43" s="82">
        <v>0.0</v>
      </c>
      <c r="F43" s="37">
        <v>0.0</v>
      </c>
      <c r="G43" s="107">
        <f t="shared" si="5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35" t="s">
        <v>230</v>
      </c>
      <c r="D44" s="36" t="s">
        <v>29</v>
      </c>
      <c r="E44" s="95">
        <v>0.0</v>
      </c>
      <c r="F44" s="37">
        <v>0.0</v>
      </c>
      <c r="G44" s="107">
        <f t="shared" si="5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35" t="s">
        <v>231</v>
      </c>
      <c r="D45" s="36" t="s">
        <v>29</v>
      </c>
      <c r="E45" s="95">
        <v>0.0</v>
      </c>
      <c r="F45" s="37">
        <v>0.0</v>
      </c>
      <c r="G45" s="107">
        <f t="shared" si="5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35" t="s">
        <v>232</v>
      </c>
      <c r="D46" s="36" t="s">
        <v>29</v>
      </c>
      <c r="E46" s="95">
        <v>0.0</v>
      </c>
      <c r="F46" s="37">
        <v>0.0</v>
      </c>
      <c r="G46" s="107">
        <f t="shared" si="5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35" t="s">
        <v>233</v>
      </c>
      <c r="D47" s="36" t="s">
        <v>29</v>
      </c>
      <c r="E47" s="95">
        <v>0.0</v>
      </c>
      <c r="F47" s="37">
        <v>0.0</v>
      </c>
      <c r="G47" s="107">
        <f t="shared" si="5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42" t="s">
        <v>234</v>
      </c>
      <c r="D48" s="43" t="s">
        <v>29</v>
      </c>
      <c r="E48" s="164">
        <v>0.0</v>
      </c>
      <c r="F48" s="164">
        <v>0.0</v>
      </c>
      <c r="G48" s="155">
        <f t="shared" si="5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3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38" t="s">
        <v>235</v>
      </c>
      <c r="D50" s="165"/>
      <c r="E50" s="166">
        <f>SUM(G9,G17,G19:G22,G24:G25,G31,G35,G37:G39,G41:G48,G33)</f>
        <v>176147.9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C32:G32"/>
    <mergeCell ref="C34:G34"/>
    <mergeCell ref="C36:G36"/>
    <mergeCell ref="C40:G40"/>
    <mergeCell ref="C50:D50"/>
    <mergeCell ref="C2:G2"/>
    <mergeCell ref="C4:G4"/>
    <mergeCell ref="B5:B7"/>
    <mergeCell ref="C10:G10"/>
    <mergeCell ref="C18:G18"/>
    <mergeCell ref="C23:G23"/>
    <mergeCell ref="C30:G30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0.75"/>
    <col customWidth="1" min="3" max="3" width="10.75"/>
    <col customWidth="1" min="4" max="5" width="10.5"/>
    <col customWidth="1" min="6" max="6" width="13.5"/>
    <col customWidth="1" min="7" max="7" width="10.38"/>
    <col customWidth="1" min="8" max="8" width="12.25"/>
    <col customWidth="1" min="9" max="9" width="11.25"/>
    <col customWidth="1" min="10" max="10" width="8.5"/>
    <col customWidth="1" hidden="1" min="11" max="11" width="14.13"/>
    <col customWidth="1" hidden="1" min="12" max="12" width="13.25"/>
    <col customWidth="1" hidden="1" min="13" max="13" width="11.5"/>
    <col customWidth="1" min="14" max="14" width="11.5"/>
    <col customWidth="1" min="15" max="18" width="8.0"/>
    <col customWidth="1" hidden="1" min="19" max="19" width="28.88"/>
    <col customWidth="1" hidden="1" min="20" max="20" width="13.5"/>
    <col customWidth="1" hidden="1" min="21" max="21" width="15.38"/>
    <col customWidth="1" hidden="1" min="22" max="22" width="23.0"/>
    <col customWidth="1" hidden="1" min="23" max="23" width="13.88"/>
    <col customWidth="1" hidden="1" min="24" max="24" width="15.13"/>
    <col customWidth="1" hidden="1" min="25" max="26" width="17.25"/>
    <col customWidth="1" hidden="1" min="27" max="27" width="13.0"/>
    <col customWidth="1" hidden="1" min="28" max="28" width="13.63"/>
    <col customWidth="1" hidden="1" min="29" max="29" width="12.38"/>
    <col customWidth="1" hidden="1" min="30" max="30" width="15.25"/>
    <col customWidth="1" hidden="1" min="31" max="31" width="12.5"/>
    <col customWidth="1" min="32" max="32" width="10.63"/>
  </cols>
  <sheetData>
    <row r="1">
      <c r="A1" s="1"/>
      <c r="B1" s="137"/>
      <c r="C1" s="137"/>
      <c r="D1" s="137"/>
      <c r="E1" s="1"/>
      <c r="F1" s="1"/>
      <c r="G1" s="1"/>
      <c r="H1" s="1"/>
      <c r="I1" s="1"/>
      <c r="J1" s="1"/>
      <c r="K1" s="1"/>
      <c r="L1" s="1" t="s">
        <v>236</v>
      </c>
      <c r="M1" s="1" t="s">
        <v>237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13" t="s">
        <v>238</v>
      </c>
      <c r="C2" s="14"/>
      <c r="D2" s="14"/>
      <c r="E2" s="15"/>
      <c r="F2" s="167"/>
      <c r="G2" s="1"/>
      <c r="H2" s="1"/>
      <c r="I2" s="1"/>
      <c r="J2" s="1"/>
      <c r="K2" s="1" t="s">
        <v>239</v>
      </c>
      <c r="L2" s="1">
        <f>IFERROR(AVERAGEIF('Parâmetros Recria'!D17:M17,"&gt;0"),0)</f>
        <v>0</v>
      </c>
      <c r="M2" s="1">
        <f>IFERROR(AVERAGEIF('Parâmetros Monofásico'!D17:M17,"&gt;0"),0)</f>
        <v>274.8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"/>
      <c r="B3" s="16" t="s">
        <v>240</v>
      </c>
      <c r="C3" s="17"/>
      <c r="D3" s="168">
        <f>IFERROR(SUM(D4:D6)/IF($L$6&gt;$M$3,$L$6,$M$3),0)</f>
        <v>283.583521</v>
      </c>
      <c r="E3" s="5"/>
      <c r="F3" s="161"/>
      <c r="G3" s="1"/>
      <c r="H3" s="1"/>
      <c r="I3" s="1"/>
      <c r="J3" s="1"/>
      <c r="K3" s="1" t="s">
        <v>241</v>
      </c>
      <c r="L3" s="1">
        <f>IFERROR(AVERAGEIF('Parâmetros Engorda'!D17:M17,"&gt;0"),0)</f>
        <v>0</v>
      </c>
      <c r="M3" s="1">
        <f>ROUNDUP((M2/30),1)</f>
        <v>9.2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>
      <c r="A4" s="1"/>
      <c r="B4" s="169" t="s">
        <v>160</v>
      </c>
      <c r="C4" s="170"/>
      <c r="D4" s="171">
        <f>$AE$134</f>
        <v>466.7099429</v>
      </c>
      <c r="E4" s="172"/>
      <c r="F4" s="173"/>
      <c r="G4" s="1"/>
      <c r="H4" s="1"/>
      <c r="I4" s="1"/>
      <c r="J4" s="1"/>
      <c r="K4" s="1" t="s">
        <v>242</v>
      </c>
      <c r="L4" s="1">
        <f>IFERROR(AVERAGEIF('Parâmetros Terminação'!D17:M17,"&gt;0"),0)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>
      <c r="A5" s="1"/>
      <c r="B5" s="174" t="s">
        <v>243</v>
      </c>
      <c r="C5" s="24"/>
      <c r="D5" s="175">
        <f>$AE$86</f>
        <v>0</v>
      </c>
      <c r="E5" s="176"/>
      <c r="F5" s="173"/>
      <c r="G5" s="132"/>
      <c r="H5" s="1"/>
      <c r="I5" s="1"/>
      <c r="J5" s="1"/>
      <c r="K5" s="1" t="s">
        <v>244</v>
      </c>
      <c r="L5" s="1">
        <f>SUM(L2:L4)</f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>
      <c r="A6" s="1"/>
      <c r="B6" s="177" t="s">
        <v>105</v>
      </c>
      <c r="C6" s="178"/>
      <c r="D6" s="179">
        <f>$AE$115</f>
        <v>2142.25845</v>
      </c>
      <c r="E6" s="180"/>
      <c r="F6" s="173"/>
      <c r="G6" s="1"/>
      <c r="H6" s="1"/>
      <c r="I6" s="1"/>
      <c r="J6" s="1"/>
      <c r="K6" s="1"/>
      <c r="L6" s="181">
        <f>ROUNDUP(L5/30,1)</f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>
      <c r="A7" s="1"/>
      <c r="B7" s="16" t="s">
        <v>245</v>
      </c>
      <c r="C7" s="17"/>
      <c r="D7" s="168">
        <f>IFERROR(SUM(D8:D10)/IF($L$6&gt;$M$3,$L$6,$M$3),0)</f>
        <v>283.0152826</v>
      </c>
      <c r="E7" s="5"/>
      <c r="F7" s="16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>
      <c r="A8" s="1"/>
      <c r="B8" s="169" t="s">
        <v>160</v>
      </c>
      <c r="C8" s="170"/>
      <c r="D8" s="171">
        <f>$Z$134</f>
        <v>40.8816</v>
      </c>
      <c r="E8" s="172"/>
      <c r="F8" s="173"/>
      <c r="G8" s="1"/>
      <c r="H8" s="1"/>
      <c r="I8" s="1"/>
      <c r="J8" s="1"/>
      <c r="K8" s="1" t="s">
        <v>246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>
      <c r="A9" s="1"/>
      <c r="B9" s="174" t="s">
        <v>243</v>
      </c>
      <c r="C9" s="24"/>
      <c r="D9" s="175">
        <f>$Z$86</f>
        <v>0</v>
      </c>
      <c r="E9" s="176"/>
      <c r="F9" s="173"/>
      <c r="G9" s="1"/>
      <c r="H9" s="1"/>
      <c r="I9" s="1"/>
      <c r="J9" s="1"/>
      <c r="K9" s="1" t="s">
        <v>247</v>
      </c>
      <c r="L9" s="1">
        <f>IFERROR(AVERAGEIF('Parâmetros Recria'!D16:M16,"&gt;0"),0)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>
      <c r="A10" s="1"/>
      <c r="B10" s="177" t="s">
        <v>105</v>
      </c>
      <c r="C10" s="178"/>
      <c r="D10" s="179">
        <f>$Z$115</f>
        <v>2562.859</v>
      </c>
      <c r="E10" s="180"/>
      <c r="F10" s="173"/>
      <c r="G10" s="1"/>
      <c r="H10" s="1"/>
      <c r="I10" s="1"/>
      <c r="J10" s="1"/>
      <c r="K10" s="1" t="s">
        <v>248</v>
      </c>
      <c r="L10" s="1">
        <f>IFERROR(AVERAGEIF('Parâmetros Engorda'!D16:M16,"&gt;0"),0)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>
      <c r="A11" s="1"/>
      <c r="B11" s="16" t="s">
        <v>249</v>
      </c>
      <c r="C11" s="17"/>
      <c r="D11" s="168">
        <f>IFERROR(SUM(D12:D13)/IF($L$6&gt;$M$3,$L$6,$M$3),0)</f>
        <v>0</v>
      </c>
      <c r="E11" s="5"/>
      <c r="F11" s="161"/>
      <c r="G11" s="1"/>
      <c r="H11" s="1"/>
      <c r="I11" s="1"/>
      <c r="J11" s="1"/>
      <c r="K11" s="1" t="s">
        <v>250</v>
      </c>
      <c r="L11" s="1">
        <f>IFERROR(AVERAGEIF('Parâmetros Terminação'!D16:M16,"&gt;0"),0)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>
      <c r="A12" s="1"/>
      <c r="B12" s="182" t="s">
        <v>80</v>
      </c>
      <c r="C12" s="170"/>
      <c r="D12" s="171">
        <f>IF('Dados gerais'!$C$8="sim",0,'Custos fixos'!$V$64)</f>
        <v>0</v>
      </c>
      <c r="E12" s="172"/>
      <c r="F12" s="183"/>
      <c r="G12" s="1"/>
      <c r="H12" s="1"/>
      <c r="I12" s="1"/>
      <c r="J12" s="1"/>
      <c r="K12" s="1" t="s">
        <v>251</v>
      </c>
      <c r="L12" s="1">
        <f>IFERROR(AVERAGEIF(L9:L11,"&gt;0"),0)</f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>
      <c r="A13" s="1"/>
      <c r="B13" s="184" t="s">
        <v>252</v>
      </c>
      <c r="C13" s="178"/>
      <c r="D13" s="179">
        <f>$V$65</f>
        <v>0</v>
      </c>
      <c r="E13" s="180"/>
      <c r="F13" s="18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>
      <c r="A14" s="1"/>
      <c r="B14" s="16" t="s">
        <v>253</v>
      </c>
      <c r="C14" s="17"/>
      <c r="D14" s="168">
        <f>SUM(E16:E17)</f>
        <v>20700</v>
      </c>
      <c r="E14" s="5"/>
      <c r="F14" s="161"/>
      <c r="G14" s="1"/>
      <c r="H14" s="1"/>
      <c r="I14" s="1"/>
      <c r="J14" s="1"/>
      <c r="K14" s="1" t="s">
        <v>254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13.5" customHeight="1">
      <c r="A15" s="1"/>
      <c r="B15" s="185"/>
      <c r="C15" s="186" t="s">
        <v>255</v>
      </c>
      <c r="D15" s="186" t="s">
        <v>256</v>
      </c>
      <c r="E15" s="187" t="s">
        <v>187</v>
      </c>
      <c r="F15" s="49"/>
      <c r="G15" s="1"/>
      <c r="H15" s="1"/>
      <c r="I15" s="1"/>
      <c r="J15" s="1"/>
      <c r="K15" s="1" t="s">
        <v>247</v>
      </c>
      <c r="L15" s="1">
        <f>IFERROR(AVERAGEIF('Parâmetros Recria'!D22:M22,"&gt;0"),0)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>
      <c r="A16" s="1"/>
      <c r="B16" s="113" t="s">
        <v>257</v>
      </c>
      <c r="C16" s="95">
        <v>0.0</v>
      </c>
      <c r="D16" s="37">
        <v>0.0</v>
      </c>
      <c r="E16" s="107">
        <f t="shared" ref="E16:E17" si="1">(IF($L$6&gt;$M$3,$L$6,$M$3)*(C16*D16))</f>
        <v>0</v>
      </c>
      <c r="F16" s="132"/>
      <c r="G16" s="1"/>
      <c r="H16" s="132"/>
      <c r="I16" s="132"/>
      <c r="J16" s="1"/>
      <c r="K16" s="1" t="s">
        <v>248</v>
      </c>
      <c r="L16" s="1">
        <f>IFERROR(AVERAGEIF('Parâmetros Engorda'!D21:M21,"&gt;0"),0)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>
      <c r="A17" s="1"/>
      <c r="B17" s="114" t="s">
        <v>258</v>
      </c>
      <c r="C17" s="115">
        <v>1.0</v>
      </c>
      <c r="D17" s="116">
        <v>2250.0</v>
      </c>
      <c r="E17" s="107">
        <f t="shared" si="1"/>
        <v>20700</v>
      </c>
      <c r="F17" s="132"/>
      <c r="G17" s="1"/>
      <c r="H17" s="1"/>
      <c r="I17" s="1"/>
      <c r="J17" s="1"/>
      <c r="K17" s="1" t="s">
        <v>250</v>
      </c>
      <c r="L17" s="1">
        <f>IFERROR(AVERAGEIF('Parâmetros Terminação'!D21:M21,"&gt;0"),0)</f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>
      <c r="A18" s="1"/>
      <c r="B18" s="16" t="s">
        <v>259</v>
      </c>
      <c r="C18" s="31"/>
      <c r="D18" s="31"/>
      <c r="E18" s="5"/>
      <c r="F18" s="1"/>
      <c r="G18" s="1"/>
      <c r="H18" s="1"/>
      <c r="I18" s="1"/>
      <c r="J18" s="1"/>
      <c r="K18" s="1" t="s">
        <v>251</v>
      </c>
      <c r="L18" s="1">
        <f>IFERROR(AVERAGEIF(L15:L17,"&gt;0"),0)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>
      <c r="A19" s="1"/>
      <c r="B19" s="54"/>
      <c r="C19" s="55" t="s">
        <v>256</v>
      </c>
      <c r="D19" s="188" t="s">
        <v>187</v>
      </c>
      <c r="E19" s="18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>
      <c r="A20" s="1"/>
      <c r="B20" s="64" t="s">
        <v>260</v>
      </c>
      <c r="C20" s="116">
        <v>5000.0</v>
      </c>
      <c r="D20" s="179">
        <f>IF($L$6&gt;$M$3,$L$6,$M$3)*C20</f>
        <v>46000</v>
      </c>
      <c r="E20" s="180"/>
      <c r="F20" s="1"/>
      <c r="G20" s="1"/>
      <c r="H20" s="1"/>
      <c r="I20" s="1"/>
      <c r="J20" s="1"/>
      <c r="K20" s="1" t="s">
        <v>261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15.75" customHeight="1">
      <c r="A21" s="1"/>
      <c r="B21" s="16" t="s">
        <v>169</v>
      </c>
      <c r="C21" s="17"/>
      <c r="D21" s="168">
        <f>SUM(D22:D24)</f>
        <v>800</v>
      </c>
      <c r="E21" s="5"/>
      <c r="F21" s="1"/>
      <c r="G21" s="1"/>
      <c r="H21" s="1"/>
      <c r="I21" s="1"/>
      <c r="J21" s="1"/>
      <c r="K21" s="1" t="s">
        <v>247</v>
      </c>
      <c r="L21" s="1">
        <f>IFERROR(AVERAGEIF('Parâmetros Recria'!D20:M20,"&gt;0"),0)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75" customHeight="1">
      <c r="A22" s="1"/>
      <c r="B22" s="169" t="s">
        <v>262</v>
      </c>
      <c r="C22" s="170"/>
      <c r="D22" s="190">
        <v>800.0</v>
      </c>
      <c r="E22" s="189"/>
      <c r="F22" s="1"/>
      <c r="G22" s="1"/>
      <c r="H22" s="1"/>
      <c r="I22" s="1"/>
      <c r="J22" s="1"/>
      <c r="K22" s="1" t="s">
        <v>248</v>
      </c>
      <c r="L22" s="1">
        <f>IFERROR(AVERAGEIF('Parâmetros Engorda'!D19:M19,"&gt;0"),0)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ht="15.75" customHeight="1">
      <c r="A23" s="1"/>
      <c r="B23" s="174" t="s">
        <v>263</v>
      </c>
      <c r="C23" s="24"/>
      <c r="D23" s="191">
        <v>0.0</v>
      </c>
      <c r="E23" s="176"/>
      <c r="F23" s="1"/>
      <c r="G23" s="1"/>
      <c r="H23" s="1"/>
      <c r="I23" s="1"/>
      <c r="J23" s="1"/>
      <c r="K23" s="1" t="s">
        <v>250</v>
      </c>
      <c r="L23" s="1">
        <f>IFERROR(AVERAGEIF('Parâmetros Terminação'!D19:M19,"&gt;0"),0)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5.75" customHeight="1">
      <c r="A24" s="1"/>
      <c r="B24" s="177" t="s">
        <v>265</v>
      </c>
      <c r="C24" s="178"/>
      <c r="D24" s="193">
        <v>0.0</v>
      </c>
      <c r="E24" s="194"/>
      <c r="F24" s="1"/>
      <c r="G24" s="1"/>
      <c r="H24" s="1"/>
      <c r="I24" s="1"/>
      <c r="J24" s="1"/>
      <c r="K24" s="1" t="s">
        <v>251</v>
      </c>
      <c r="L24" s="1">
        <f>IFERROR(AVERAGEIF(L21:L23,"&gt;0"),0)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15.75" customHeight="1">
      <c r="A25" s="1"/>
      <c r="B25" s="197" t="s">
        <v>269</v>
      </c>
      <c r="C25" s="17"/>
      <c r="D25" s="168">
        <f>SUM(D26:D28)</f>
        <v>0</v>
      </c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ht="15.75" customHeight="1">
      <c r="A26" s="1"/>
      <c r="B26" s="201" t="s">
        <v>275</v>
      </c>
      <c r="C26" s="170"/>
      <c r="D26" s="203">
        <f>IFERROR(IF('Dados gerais'!$C$8="sim",'Inventário'!$F$6,"0")*IF(L6&gt;M3,L6,M3),0)</f>
        <v>0</v>
      </c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ht="15.75" customHeight="1">
      <c r="A27" s="1"/>
      <c r="B27" s="205" t="s">
        <v>276</v>
      </c>
      <c r="C27" s="24"/>
      <c r="D27" s="191">
        <v>0.0</v>
      </c>
      <c r="E27" s="17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ht="15.75" customHeight="1">
      <c r="A28" s="1"/>
      <c r="B28" s="205" t="s">
        <v>277</v>
      </c>
      <c r="C28" s="24"/>
      <c r="D28" s="191">
        <v>0.0</v>
      </c>
      <c r="E28" s="17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ht="15.75" customHeight="1">
      <c r="A29" s="1"/>
      <c r="B29" s="206" t="s">
        <v>278</v>
      </c>
      <c r="C29" s="28"/>
      <c r="D29" s="207">
        <v>0.0</v>
      </c>
      <c r="E29" s="20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75" customHeight="1">
      <c r="A31" s="1"/>
      <c r="B31" s="209" t="s">
        <v>279</v>
      </c>
      <c r="C31" s="139">
        <f>SUM(D3,D7,D11,D14,D20,D21,D25)</f>
        <v>68066.5988</v>
      </c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16" t="s">
        <v>283</v>
      </c>
      <c r="T60" s="216"/>
      <c r="U60" s="216"/>
      <c r="V60" s="216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16" t="s">
        <v>262</v>
      </c>
      <c r="T61" s="216"/>
      <c r="U61" s="216"/>
      <c r="V61" s="216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16" t="s">
        <v>284</v>
      </c>
      <c r="T63" s="216" t="s">
        <v>285</v>
      </c>
      <c r="U63" s="216" t="s">
        <v>286</v>
      </c>
      <c r="V63" s="216" t="s">
        <v>287</v>
      </c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16" t="s">
        <v>80</v>
      </c>
      <c r="T64" s="217">
        <f>IF('Inventário'!F6&gt;0,0,'Inventário'!F9)</f>
        <v>7200</v>
      </c>
      <c r="U64" s="218">
        <f>'Parâmetros econômicos-mercado'!E6</f>
        <v>0</v>
      </c>
      <c r="V64" s="217">
        <f t="shared" ref="V64:V65" si="2">U64*T64</f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16" t="s">
        <v>252</v>
      </c>
      <c r="T65" s="217">
        <f>SUM(W86,W115,W138)</f>
        <v>53829.39</v>
      </c>
      <c r="U65" s="218">
        <f>'Parâmetros econômicos-mercado'!E7</f>
        <v>0</v>
      </c>
      <c r="V65" s="217">
        <f t="shared" si="2"/>
        <v>0</v>
      </c>
      <c r="W65" s="132"/>
      <c r="X65" s="1"/>
      <c r="Y65" s="1"/>
      <c r="Z65" s="1"/>
      <c r="AA65" s="1"/>
      <c r="AB65" s="1"/>
      <c r="AC65" s="1"/>
      <c r="AD65" s="1"/>
      <c r="AE65" s="1"/>
      <c r="AF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49"/>
      <c r="U67" s="49"/>
      <c r="V67" s="49"/>
      <c r="W67" s="49"/>
      <c r="X67" s="1"/>
      <c r="Y67" s="1"/>
      <c r="Z67" s="1"/>
      <c r="AA67" s="219"/>
      <c r="AB67" s="1"/>
      <c r="AC67" s="1"/>
      <c r="AD67" s="1"/>
      <c r="AE67" s="1"/>
      <c r="AF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9"/>
      <c r="U68" s="120"/>
      <c r="V68" s="220"/>
      <c r="W68" s="120"/>
      <c r="X68" s="132"/>
      <c r="Y68" s="1"/>
      <c r="Z68" s="1"/>
      <c r="AA68" s="1"/>
      <c r="AB68" s="1"/>
      <c r="AC68" s="1"/>
      <c r="AD68" s="1"/>
      <c r="AE68" s="1"/>
      <c r="AF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21"/>
      <c r="T72" s="222"/>
      <c r="U72" s="222"/>
      <c r="V72" s="223"/>
      <c r="W72" s="224"/>
      <c r="X72" s="225" t="s">
        <v>288</v>
      </c>
      <c r="Y72" s="24"/>
      <c r="Z72" s="226"/>
      <c r="AA72" s="225" t="s">
        <v>289</v>
      </c>
      <c r="AB72" s="227"/>
      <c r="AC72" s="227"/>
      <c r="AD72" s="24"/>
      <c r="AE72" s="1"/>
      <c r="AF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28" t="s">
        <v>93</v>
      </c>
      <c r="T73" s="229" t="s">
        <v>290</v>
      </c>
      <c r="U73" s="229" t="s">
        <v>291</v>
      </c>
      <c r="V73" s="229" t="s">
        <v>292</v>
      </c>
      <c r="W73" s="228" t="s">
        <v>293</v>
      </c>
      <c r="X73" s="228" t="s">
        <v>294</v>
      </c>
      <c r="Y73" s="228" t="s">
        <v>295</v>
      </c>
      <c r="Z73" s="228" t="s">
        <v>295</v>
      </c>
      <c r="AA73" s="228" t="s">
        <v>296</v>
      </c>
      <c r="AB73" s="228" t="s">
        <v>297</v>
      </c>
      <c r="AC73" s="228" t="s">
        <v>298</v>
      </c>
      <c r="AD73" s="228" t="s">
        <v>289</v>
      </c>
      <c r="AE73" s="1"/>
      <c r="AF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13" t="s">
        <v>96</v>
      </c>
      <c r="T74" s="230" t="s">
        <v>29</v>
      </c>
      <c r="U74" s="231">
        <f>'Inventário'!E12</f>
        <v>0</v>
      </c>
      <c r="V74" s="223">
        <f>'Inventário'!D12</f>
        <v>0</v>
      </c>
      <c r="W74" s="232">
        <f t="shared" ref="W74:W85" si="3">V74*U74</f>
        <v>0</v>
      </c>
      <c r="X74" s="233">
        <v>0.1</v>
      </c>
      <c r="Y74" s="234">
        <f t="shared" ref="Y74:Y85" si="4">W74*X74</f>
        <v>0</v>
      </c>
      <c r="Z74" s="234">
        <f t="shared" ref="Z74:Z85" si="5">IFERROR(Y74,0)</f>
        <v>0</v>
      </c>
      <c r="AA74" s="233">
        <v>0.1</v>
      </c>
      <c r="AB74" s="234">
        <f t="shared" ref="AB74:AB85" si="6">AA74*W74</f>
        <v>0</v>
      </c>
      <c r="AC74" s="235">
        <f>'Inventário'!F12</f>
        <v>0</v>
      </c>
      <c r="AD74" s="234" t="str">
        <f t="shared" ref="AD74:AD85" si="7">(W74-AB74)/AC74</f>
        <v>#DIV/0!</v>
      </c>
      <c r="AE74" s="132">
        <f t="shared" ref="AE74:AE85" si="8">IFERROR(AD74,0)</f>
        <v>0</v>
      </c>
      <c r="AF74" s="236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13" t="s">
        <v>97</v>
      </c>
      <c r="T75" s="230" t="s">
        <v>29</v>
      </c>
      <c r="U75" s="231">
        <f>'Inventário'!E13</f>
        <v>0</v>
      </c>
      <c r="V75" s="223">
        <f>'Inventário'!D13</f>
        <v>0</v>
      </c>
      <c r="W75" s="232">
        <f t="shared" si="3"/>
        <v>0</v>
      </c>
      <c r="X75" s="233">
        <v>0.1</v>
      </c>
      <c r="Y75" s="234">
        <f t="shared" si="4"/>
        <v>0</v>
      </c>
      <c r="Z75" s="234">
        <f t="shared" si="5"/>
        <v>0</v>
      </c>
      <c r="AA75" s="233">
        <v>0.1</v>
      </c>
      <c r="AB75" s="234">
        <f t="shared" si="6"/>
        <v>0</v>
      </c>
      <c r="AC75" s="235">
        <f>'Inventário'!F13</f>
        <v>0</v>
      </c>
      <c r="AD75" s="234" t="str">
        <f t="shared" si="7"/>
        <v>#DIV/0!</v>
      </c>
      <c r="AE75" s="132">
        <f t="shared" si="8"/>
        <v>0</v>
      </c>
      <c r="AF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13" t="s">
        <v>98</v>
      </c>
      <c r="T76" s="230" t="s">
        <v>29</v>
      </c>
      <c r="U76" s="231">
        <f>'Inventário'!E14</f>
        <v>0</v>
      </c>
      <c r="V76" s="223">
        <f>'Inventário'!D14</f>
        <v>0</v>
      </c>
      <c r="W76" s="232">
        <f t="shared" si="3"/>
        <v>0</v>
      </c>
      <c r="X76" s="233">
        <v>0.1</v>
      </c>
      <c r="Y76" s="234">
        <f t="shared" si="4"/>
        <v>0</v>
      </c>
      <c r="Z76" s="234">
        <f t="shared" si="5"/>
        <v>0</v>
      </c>
      <c r="AA76" s="233">
        <v>0.1</v>
      </c>
      <c r="AB76" s="234">
        <f t="shared" si="6"/>
        <v>0</v>
      </c>
      <c r="AC76" s="235">
        <f>'Inventário'!F14</f>
        <v>0</v>
      </c>
      <c r="AD76" s="234" t="str">
        <f t="shared" si="7"/>
        <v>#DIV/0!</v>
      </c>
      <c r="AE76" s="132">
        <f t="shared" si="8"/>
        <v>0</v>
      </c>
      <c r="AF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13" t="s">
        <v>99</v>
      </c>
      <c r="T77" s="230" t="s">
        <v>29</v>
      </c>
      <c r="U77" s="231">
        <f>'Inventário'!E15</f>
        <v>0</v>
      </c>
      <c r="V77" s="223">
        <f>'Inventário'!D15</f>
        <v>0</v>
      </c>
      <c r="W77" s="232">
        <f t="shared" si="3"/>
        <v>0</v>
      </c>
      <c r="X77" s="233">
        <v>0.1</v>
      </c>
      <c r="Y77" s="234">
        <f t="shared" si="4"/>
        <v>0</v>
      </c>
      <c r="Z77" s="234">
        <f t="shared" si="5"/>
        <v>0</v>
      </c>
      <c r="AA77" s="233">
        <v>0.1</v>
      </c>
      <c r="AB77" s="234">
        <f t="shared" si="6"/>
        <v>0</v>
      </c>
      <c r="AC77" s="235" t="str">
        <f>Inventário!#REF!</f>
        <v>#ERROR!</v>
      </c>
      <c r="AD77" s="234" t="str">
        <f t="shared" si="7"/>
        <v>#ERROR!</v>
      </c>
      <c r="AE77" s="132">
        <f t="shared" si="8"/>
        <v>0</v>
      </c>
      <c r="AF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13" t="s">
        <v>100</v>
      </c>
      <c r="T78" s="230" t="s">
        <v>29</v>
      </c>
      <c r="U78" s="231">
        <f>'Inventário'!E16</f>
        <v>0</v>
      </c>
      <c r="V78" s="223">
        <f>'Inventário'!D16</f>
        <v>0</v>
      </c>
      <c r="W78" s="232">
        <f t="shared" si="3"/>
        <v>0</v>
      </c>
      <c r="X78" s="233">
        <v>0.1</v>
      </c>
      <c r="Y78" s="234">
        <f t="shared" si="4"/>
        <v>0</v>
      </c>
      <c r="Z78" s="234">
        <f t="shared" si="5"/>
        <v>0</v>
      </c>
      <c r="AA78" s="233">
        <v>0.1</v>
      </c>
      <c r="AB78" s="234">
        <f t="shared" si="6"/>
        <v>0</v>
      </c>
      <c r="AC78" s="235" t="str">
        <f>Inventário!#REF!</f>
        <v>#ERROR!</v>
      </c>
      <c r="AD78" s="237" t="str">
        <f t="shared" si="7"/>
        <v>#ERROR!</v>
      </c>
      <c r="AE78" s="132">
        <f t="shared" si="8"/>
        <v>0</v>
      </c>
      <c r="AF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13" t="s">
        <v>101</v>
      </c>
      <c r="T79" s="230" t="s">
        <v>29</v>
      </c>
      <c r="U79" s="231">
        <f>'Inventário'!E17</f>
        <v>0</v>
      </c>
      <c r="V79" s="223">
        <f>'Inventário'!D17</f>
        <v>0</v>
      </c>
      <c r="W79" s="232">
        <f t="shared" si="3"/>
        <v>0</v>
      </c>
      <c r="X79" s="233">
        <v>0.1</v>
      </c>
      <c r="Y79" s="234">
        <f t="shared" si="4"/>
        <v>0</v>
      </c>
      <c r="Z79" s="234">
        <f t="shared" si="5"/>
        <v>0</v>
      </c>
      <c r="AA79" s="233">
        <v>0.1</v>
      </c>
      <c r="AB79" s="234">
        <f t="shared" si="6"/>
        <v>0</v>
      </c>
      <c r="AC79" s="235" t="str">
        <f>Inventário!#REF!</f>
        <v>#ERROR!</v>
      </c>
      <c r="AD79" s="234" t="str">
        <f t="shared" si="7"/>
        <v>#ERROR!</v>
      </c>
      <c r="AE79" s="132">
        <f t="shared" si="8"/>
        <v>0</v>
      </c>
      <c r="AF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13" t="s">
        <v>102</v>
      </c>
      <c r="T80" s="230" t="s">
        <v>29</v>
      </c>
      <c r="U80" s="231">
        <f>'Inventário'!E18</f>
        <v>0</v>
      </c>
      <c r="V80" s="223">
        <f>'Inventário'!D18</f>
        <v>0</v>
      </c>
      <c r="W80" s="232">
        <f t="shared" si="3"/>
        <v>0</v>
      </c>
      <c r="X80" s="233">
        <v>0.1</v>
      </c>
      <c r="Y80" s="234">
        <f t="shared" si="4"/>
        <v>0</v>
      </c>
      <c r="Z80" s="234">
        <f t="shared" si="5"/>
        <v>0</v>
      </c>
      <c r="AA80" s="233">
        <v>0.1</v>
      </c>
      <c r="AB80" s="234">
        <f t="shared" si="6"/>
        <v>0</v>
      </c>
      <c r="AC80" s="235">
        <f>'Inventário'!F15</f>
        <v>0</v>
      </c>
      <c r="AD80" s="234" t="str">
        <f t="shared" si="7"/>
        <v>#DIV/0!</v>
      </c>
      <c r="AE80" s="132">
        <f t="shared" si="8"/>
        <v>0</v>
      </c>
      <c r="AF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13" t="s">
        <v>86</v>
      </c>
      <c r="T81" s="230" t="s">
        <v>29</v>
      </c>
      <c r="U81" s="231">
        <f>'Inventário'!E19</f>
        <v>0</v>
      </c>
      <c r="V81" s="223">
        <f>'Inventário'!D19</f>
        <v>0</v>
      </c>
      <c r="W81" s="232">
        <f t="shared" si="3"/>
        <v>0</v>
      </c>
      <c r="X81" s="233">
        <v>0.1</v>
      </c>
      <c r="Y81" s="234">
        <f t="shared" si="4"/>
        <v>0</v>
      </c>
      <c r="Z81" s="234">
        <f t="shared" si="5"/>
        <v>0</v>
      </c>
      <c r="AA81" s="233">
        <v>0.1</v>
      </c>
      <c r="AB81" s="234">
        <f t="shared" si="6"/>
        <v>0</v>
      </c>
      <c r="AC81" s="235">
        <f>'Inventário'!F16</f>
        <v>0</v>
      </c>
      <c r="AD81" s="234" t="str">
        <f t="shared" si="7"/>
        <v>#DIV/0!</v>
      </c>
      <c r="AE81" s="132">
        <f t="shared" si="8"/>
        <v>0</v>
      </c>
      <c r="AF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13" t="s">
        <v>87</v>
      </c>
      <c r="T82" s="230" t="s">
        <v>29</v>
      </c>
      <c r="U82" s="231">
        <f>'Inventário'!E20</f>
        <v>0</v>
      </c>
      <c r="V82" s="223">
        <f>'Inventário'!D20</f>
        <v>0</v>
      </c>
      <c r="W82" s="232">
        <f t="shared" si="3"/>
        <v>0</v>
      </c>
      <c r="X82" s="233">
        <v>0.1</v>
      </c>
      <c r="Y82" s="234">
        <f t="shared" si="4"/>
        <v>0</v>
      </c>
      <c r="Z82" s="234">
        <f t="shared" si="5"/>
        <v>0</v>
      </c>
      <c r="AA82" s="233">
        <v>0.1</v>
      </c>
      <c r="AB82" s="234">
        <f t="shared" si="6"/>
        <v>0</v>
      </c>
      <c r="AC82" s="235" t="str">
        <f>Inventário!#REF!</f>
        <v>#ERROR!</v>
      </c>
      <c r="AD82" s="234" t="str">
        <f t="shared" si="7"/>
        <v>#ERROR!</v>
      </c>
      <c r="AE82" s="132">
        <f t="shared" si="8"/>
        <v>0</v>
      </c>
      <c r="AF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13" t="s">
        <v>92</v>
      </c>
      <c r="T83" s="230" t="s">
        <v>29</v>
      </c>
      <c r="U83" s="231">
        <f>'Inventário'!E21</f>
        <v>0</v>
      </c>
      <c r="V83" s="223">
        <f>'Inventário'!D21</f>
        <v>0</v>
      </c>
      <c r="W83" s="232">
        <f t="shared" si="3"/>
        <v>0</v>
      </c>
      <c r="X83" s="233">
        <v>0.1</v>
      </c>
      <c r="Y83" s="234">
        <f t="shared" si="4"/>
        <v>0</v>
      </c>
      <c r="Z83" s="234">
        <f t="shared" si="5"/>
        <v>0</v>
      </c>
      <c r="AA83" s="233">
        <v>0.1</v>
      </c>
      <c r="AB83" s="234">
        <f t="shared" si="6"/>
        <v>0</v>
      </c>
      <c r="AC83" s="235">
        <f>'Inventário'!F17</f>
        <v>0</v>
      </c>
      <c r="AD83" s="234" t="str">
        <f t="shared" si="7"/>
        <v>#DIV/0!</v>
      </c>
      <c r="AE83" s="132">
        <f t="shared" si="8"/>
        <v>0</v>
      </c>
      <c r="AF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38" t="s">
        <v>103</v>
      </c>
      <c r="T84" s="230" t="s">
        <v>29</v>
      </c>
      <c r="U84" s="231">
        <f>'Inventário'!E22</f>
        <v>0</v>
      </c>
      <c r="V84" s="223">
        <f>'Inventário'!D22</f>
        <v>0</v>
      </c>
      <c r="W84" s="232">
        <f t="shared" si="3"/>
        <v>0</v>
      </c>
      <c r="X84" s="233">
        <v>0.1</v>
      </c>
      <c r="Y84" s="234">
        <f t="shared" si="4"/>
        <v>0</v>
      </c>
      <c r="Z84" s="234">
        <f t="shared" si="5"/>
        <v>0</v>
      </c>
      <c r="AA84" s="233">
        <v>0.1</v>
      </c>
      <c r="AB84" s="234">
        <f t="shared" si="6"/>
        <v>0</v>
      </c>
      <c r="AC84" s="235">
        <f>'Inventário'!F18</f>
        <v>0</v>
      </c>
      <c r="AD84" s="234" t="str">
        <f t="shared" si="7"/>
        <v>#DIV/0!</v>
      </c>
      <c r="AE84" s="132">
        <f t="shared" si="8"/>
        <v>0</v>
      </c>
      <c r="AF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38" t="s">
        <v>104</v>
      </c>
      <c r="T85" s="230" t="s">
        <v>29</v>
      </c>
      <c r="U85" s="231">
        <f>'Inventário'!E23</f>
        <v>0</v>
      </c>
      <c r="V85" s="223">
        <f>'Inventário'!D23</f>
        <v>0</v>
      </c>
      <c r="W85" s="232">
        <f t="shared" si="3"/>
        <v>0</v>
      </c>
      <c r="X85" s="233">
        <v>0.1</v>
      </c>
      <c r="Y85" s="234">
        <f t="shared" si="4"/>
        <v>0</v>
      </c>
      <c r="Z85" s="234">
        <f t="shared" si="5"/>
        <v>0</v>
      </c>
      <c r="AA85" s="233">
        <v>0.1</v>
      </c>
      <c r="AB85" s="234">
        <f t="shared" si="6"/>
        <v>0</v>
      </c>
      <c r="AC85" s="235">
        <f>'Inventário'!F19</f>
        <v>0</v>
      </c>
      <c r="AD85" s="234" t="str">
        <f t="shared" si="7"/>
        <v>#DIV/0!</v>
      </c>
      <c r="AE85" s="132">
        <f t="shared" si="8"/>
        <v>0</v>
      </c>
      <c r="AF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36">
        <f>SUM(W74:W85)</f>
        <v>0</v>
      </c>
      <c r="X86" s="1"/>
      <c r="Y86" s="236">
        <f t="shared" ref="Y86:Z86" si="9">SUM(Y74:Y85)</f>
        <v>0</v>
      </c>
      <c r="Z86" s="236">
        <f t="shared" si="9"/>
        <v>0</v>
      </c>
      <c r="AA86" s="1"/>
      <c r="AB86" s="1"/>
      <c r="AC86" s="1"/>
      <c r="AD86" s="236" t="str">
        <f t="shared" ref="AD86:AE86" si="10">SUM(AD74:AD85)</f>
        <v>#DIV/0!</v>
      </c>
      <c r="AE86" s="236">
        <f t="shared" si="10"/>
        <v>0</v>
      </c>
      <c r="AF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49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42"/>
      <c r="T89" s="239"/>
      <c r="U89" s="239"/>
      <c r="V89" s="240"/>
      <c r="W89" s="241"/>
      <c r="X89" s="242" t="s">
        <v>288</v>
      </c>
      <c r="Y89" s="24"/>
      <c r="Z89" s="243"/>
      <c r="AA89" s="242" t="s">
        <v>289</v>
      </c>
      <c r="AB89" s="227"/>
      <c r="AC89" s="227"/>
      <c r="AD89" s="24"/>
      <c r="AE89" s="1"/>
      <c r="AF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44" t="s">
        <v>105</v>
      </c>
      <c r="T90" s="245" t="s">
        <v>290</v>
      </c>
      <c r="U90" s="245" t="s">
        <v>299</v>
      </c>
      <c r="V90" s="246" t="s">
        <v>82</v>
      </c>
      <c r="W90" s="247" t="s">
        <v>285</v>
      </c>
      <c r="X90" s="247" t="s">
        <v>294</v>
      </c>
      <c r="Y90" s="247" t="s">
        <v>295</v>
      </c>
      <c r="Z90" s="228" t="s">
        <v>295</v>
      </c>
      <c r="AA90" s="247" t="s">
        <v>296</v>
      </c>
      <c r="AB90" s="247" t="s">
        <v>297</v>
      </c>
      <c r="AC90" s="247" t="s">
        <v>298</v>
      </c>
      <c r="AD90" s="247" t="s">
        <v>289</v>
      </c>
      <c r="AE90" s="1"/>
      <c r="AF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13" t="s">
        <v>106</v>
      </c>
      <c r="T91" s="230" t="s">
        <v>29</v>
      </c>
      <c r="U91" s="248">
        <f>'Inventário'!E25</f>
        <v>1093.88</v>
      </c>
      <c r="V91" s="249">
        <f>'Inventário'!D25</f>
        <v>2</v>
      </c>
      <c r="W91" s="248">
        <f t="shared" ref="W91:W114" si="11">V91*U91</f>
        <v>2187.76</v>
      </c>
      <c r="X91" s="250">
        <v>0.1</v>
      </c>
      <c r="Y91" s="251">
        <f t="shared" ref="Y91:Y114" si="12">X91*W91</f>
        <v>218.776</v>
      </c>
      <c r="Z91" s="251">
        <f t="shared" ref="Z91:Z114" si="13">IFERROR(Y91,0)</f>
        <v>218.776</v>
      </c>
      <c r="AA91" s="252">
        <v>0.1</v>
      </c>
      <c r="AB91" s="251">
        <f t="shared" ref="AB91:AB114" si="14">AA91*W91</f>
        <v>218.776</v>
      </c>
      <c r="AC91" s="249">
        <f>'Inventário'!F25</f>
        <v>5</v>
      </c>
      <c r="AD91" s="253">
        <f t="shared" ref="AD91:AD114" si="15">(W91-AB91)/AC91</f>
        <v>393.7968</v>
      </c>
      <c r="AE91" s="132">
        <f t="shared" ref="AE91:AE114" si="16">IFERROR(AD91,0)</f>
        <v>393.7968</v>
      </c>
      <c r="AF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13" t="s">
        <v>107</v>
      </c>
      <c r="T92" s="230" t="s">
        <v>29</v>
      </c>
      <c r="U92" s="248">
        <f>'Inventário'!E26</f>
        <v>689</v>
      </c>
      <c r="V92" s="249">
        <f>'Inventário'!D26</f>
        <v>1</v>
      </c>
      <c r="W92" s="248">
        <f t="shared" si="11"/>
        <v>689</v>
      </c>
      <c r="X92" s="250">
        <v>0.1</v>
      </c>
      <c r="Y92" s="251">
        <f t="shared" si="12"/>
        <v>68.9</v>
      </c>
      <c r="Z92" s="251">
        <f t="shared" si="13"/>
        <v>68.9</v>
      </c>
      <c r="AA92" s="252">
        <v>0.1</v>
      </c>
      <c r="AB92" s="251">
        <f t="shared" si="14"/>
        <v>68.9</v>
      </c>
      <c r="AC92" s="249">
        <f>'Inventário'!F26</f>
        <v>10</v>
      </c>
      <c r="AD92" s="253">
        <f t="shared" si="15"/>
        <v>62.01</v>
      </c>
      <c r="AE92" s="132">
        <f t="shared" si="16"/>
        <v>62.01</v>
      </c>
      <c r="AF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13" t="s">
        <v>108</v>
      </c>
      <c r="T93" s="230" t="s">
        <v>29</v>
      </c>
      <c r="U93" s="248">
        <f>'Inventário'!E27</f>
        <v>19.9</v>
      </c>
      <c r="V93" s="249">
        <f>'Inventário'!D27</f>
        <v>2</v>
      </c>
      <c r="W93" s="248">
        <f t="shared" si="11"/>
        <v>39.8</v>
      </c>
      <c r="X93" s="250">
        <v>0.1</v>
      </c>
      <c r="Y93" s="251">
        <f t="shared" si="12"/>
        <v>3.98</v>
      </c>
      <c r="Z93" s="251">
        <f t="shared" si="13"/>
        <v>3.98</v>
      </c>
      <c r="AA93" s="252">
        <v>0.1</v>
      </c>
      <c r="AB93" s="251">
        <f t="shared" si="14"/>
        <v>3.98</v>
      </c>
      <c r="AC93" s="249">
        <f>'Inventário'!F27</f>
        <v>5</v>
      </c>
      <c r="AD93" s="253">
        <f t="shared" si="15"/>
        <v>7.164</v>
      </c>
      <c r="AE93" s="132">
        <f t="shared" si="16"/>
        <v>7.164</v>
      </c>
      <c r="AF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13" t="s">
        <v>109</v>
      </c>
      <c r="T94" s="230" t="s">
        <v>29</v>
      </c>
      <c r="U94" s="248">
        <f>'Inventário'!E28</f>
        <v>251.9</v>
      </c>
      <c r="V94" s="249">
        <f>'Inventário'!D28</f>
        <v>1</v>
      </c>
      <c r="W94" s="248">
        <f t="shared" si="11"/>
        <v>251.9</v>
      </c>
      <c r="X94" s="250">
        <v>0.1</v>
      </c>
      <c r="Y94" s="251">
        <f t="shared" si="12"/>
        <v>25.19</v>
      </c>
      <c r="Z94" s="251">
        <f t="shared" si="13"/>
        <v>25.19</v>
      </c>
      <c r="AA94" s="252">
        <v>0.1</v>
      </c>
      <c r="AB94" s="251">
        <f t="shared" si="14"/>
        <v>25.19</v>
      </c>
      <c r="AC94" s="249">
        <f>'Inventário'!F28</f>
        <v>30</v>
      </c>
      <c r="AD94" s="253">
        <f t="shared" si="15"/>
        <v>7.557</v>
      </c>
      <c r="AE94" s="132">
        <f t="shared" si="16"/>
        <v>7.557</v>
      </c>
      <c r="AF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13" t="s">
        <v>110</v>
      </c>
      <c r="T95" s="230" t="s">
        <v>29</v>
      </c>
      <c r="U95" s="248">
        <f>'Inventário'!E29</f>
        <v>219.45</v>
      </c>
      <c r="V95" s="249">
        <f>'Inventário'!D29</f>
        <v>2</v>
      </c>
      <c r="W95" s="248">
        <f t="shared" si="11"/>
        <v>438.9</v>
      </c>
      <c r="X95" s="250">
        <v>0.1</v>
      </c>
      <c r="Y95" s="251">
        <f t="shared" si="12"/>
        <v>43.89</v>
      </c>
      <c r="Z95" s="251">
        <f t="shared" si="13"/>
        <v>43.89</v>
      </c>
      <c r="AA95" s="252">
        <v>0.1</v>
      </c>
      <c r="AB95" s="251">
        <f t="shared" si="14"/>
        <v>43.89</v>
      </c>
      <c r="AC95" s="249">
        <f>'Inventário'!F29</f>
        <v>10</v>
      </c>
      <c r="AD95" s="253">
        <f t="shared" si="15"/>
        <v>39.501</v>
      </c>
      <c r="AE95" s="132">
        <f t="shared" si="16"/>
        <v>39.501</v>
      </c>
      <c r="AF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13" t="s">
        <v>112</v>
      </c>
      <c r="T96" s="230" t="s">
        <v>29</v>
      </c>
      <c r="U96" s="248">
        <f>'Inventário'!E30</f>
        <v>1400</v>
      </c>
      <c r="V96" s="249">
        <f>'Inventário'!D30</f>
        <v>3</v>
      </c>
      <c r="W96" s="248">
        <f t="shared" si="11"/>
        <v>4200</v>
      </c>
      <c r="X96" s="250">
        <v>0.1</v>
      </c>
      <c r="Y96" s="251">
        <f t="shared" si="12"/>
        <v>420</v>
      </c>
      <c r="Z96" s="251">
        <f t="shared" si="13"/>
        <v>420</v>
      </c>
      <c r="AA96" s="252">
        <v>0.1</v>
      </c>
      <c r="AB96" s="251">
        <f t="shared" si="14"/>
        <v>420</v>
      </c>
      <c r="AC96" s="249">
        <f>'Inventário'!F30</f>
        <v>40</v>
      </c>
      <c r="AD96" s="253">
        <f t="shared" si="15"/>
        <v>94.5</v>
      </c>
      <c r="AE96" s="132">
        <f t="shared" si="16"/>
        <v>94.5</v>
      </c>
      <c r="AF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13" t="s">
        <v>150</v>
      </c>
      <c r="T97" s="230" t="s">
        <v>29</v>
      </c>
      <c r="U97" s="248">
        <f>'Inventário'!E31</f>
        <v>2.3</v>
      </c>
      <c r="V97" s="249">
        <f>'Inventário'!D31</f>
        <v>100</v>
      </c>
      <c r="W97" s="248">
        <f t="shared" si="11"/>
        <v>230</v>
      </c>
      <c r="X97" s="250">
        <v>0.1</v>
      </c>
      <c r="Y97" s="251">
        <f t="shared" si="12"/>
        <v>23</v>
      </c>
      <c r="Z97" s="251">
        <f t="shared" si="13"/>
        <v>23</v>
      </c>
      <c r="AA97" s="252">
        <v>0.1</v>
      </c>
      <c r="AB97" s="251">
        <f t="shared" si="14"/>
        <v>23</v>
      </c>
      <c r="AC97" s="249">
        <f>'Inventário'!F31</f>
        <v>20</v>
      </c>
      <c r="AD97" s="253">
        <f t="shared" si="15"/>
        <v>10.35</v>
      </c>
      <c r="AE97" s="132">
        <f t="shared" si="16"/>
        <v>10.35</v>
      </c>
      <c r="AF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13" t="s">
        <v>114</v>
      </c>
      <c r="T98" s="230" t="s">
        <v>29</v>
      </c>
      <c r="U98" s="248">
        <f>'Inventário'!E32</f>
        <v>1842.05</v>
      </c>
      <c r="V98" s="249">
        <f>'Inventário'!D32</f>
        <v>1</v>
      </c>
      <c r="W98" s="248">
        <f t="shared" si="11"/>
        <v>1842.05</v>
      </c>
      <c r="X98" s="250">
        <v>0.1</v>
      </c>
      <c r="Y98" s="251">
        <f t="shared" si="12"/>
        <v>184.205</v>
      </c>
      <c r="Z98" s="251">
        <f t="shared" si="13"/>
        <v>184.205</v>
      </c>
      <c r="AA98" s="252">
        <v>0.1</v>
      </c>
      <c r="AB98" s="251">
        <f t="shared" si="14"/>
        <v>184.205</v>
      </c>
      <c r="AC98" s="249">
        <f>'Inventário'!F32</f>
        <v>15</v>
      </c>
      <c r="AD98" s="253">
        <f t="shared" si="15"/>
        <v>110.523</v>
      </c>
      <c r="AE98" s="132">
        <f t="shared" si="16"/>
        <v>110.523</v>
      </c>
      <c r="AF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13" t="s">
        <v>116</v>
      </c>
      <c r="T99" s="230" t="s">
        <v>29</v>
      </c>
      <c r="U99" s="248">
        <f>'Inventário'!E33</f>
        <v>3200</v>
      </c>
      <c r="V99" s="249">
        <f>'Inventário'!D33</f>
        <v>2</v>
      </c>
      <c r="W99" s="248">
        <f t="shared" si="11"/>
        <v>6400</v>
      </c>
      <c r="X99" s="250">
        <v>0.1</v>
      </c>
      <c r="Y99" s="251">
        <f t="shared" si="12"/>
        <v>640</v>
      </c>
      <c r="Z99" s="251">
        <f t="shared" si="13"/>
        <v>640</v>
      </c>
      <c r="AA99" s="252">
        <v>0.1</v>
      </c>
      <c r="AB99" s="251">
        <f t="shared" si="14"/>
        <v>640</v>
      </c>
      <c r="AC99" s="249">
        <f>'Inventário'!F33</f>
        <v>15</v>
      </c>
      <c r="AD99" s="253">
        <f t="shared" si="15"/>
        <v>384</v>
      </c>
      <c r="AE99" s="132">
        <f t="shared" si="16"/>
        <v>384</v>
      </c>
      <c r="AF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13" t="s">
        <v>151</v>
      </c>
      <c r="T100" s="230" t="s">
        <v>29</v>
      </c>
      <c r="U100" s="248">
        <f>'Inventário'!E34</f>
        <v>284.28</v>
      </c>
      <c r="V100" s="249">
        <f>'Inventário'!D34</f>
        <v>1</v>
      </c>
      <c r="W100" s="248">
        <f t="shared" si="11"/>
        <v>284.28</v>
      </c>
      <c r="X100" s="250">
        <v>0.1</v>
      </c>
      <c r="Y100" s="251">
        <f t="shared" si="12"/>
        <v>28.428</v>
      </c>
      <c r="Z100" s="251">
        <f t="shared" si="13"/>
        <v>28.428</v>
      </c>
      <c r="AA100" s="252">
        <v>0.1</v>
      </c>
      <c r="AB100" s="251">
        <f t="shared" si="14"/>
        <v>28.428</v>
      </c>
      <c r="AC100" s="249">
        <f>'Inventário'!F34</f>
        <v>5</v>
      </c>
      <c r="AD100" s="253">
        <f t="shared" si="15"/>
        <v>51.1704</v>
      </c>
      <c r="AE100" s="132">
        <f t="shared" si="16"/>
        <v>51.1704</v>
      </c>
      <c r="AF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13" t="s">
        <v>118</v>
      </c>
      <c r="T101" s="230" t="s">
        <v>29</v>
      </c>
      <c r="U101" s="248">
        <f>'Inventário'!E35</f>
        <v>1694</v>
      </c>
      <c r="V101" s="249">
        <f>'Inventário'!D35</f>
        <v>1</v>
      </c>
      <c r="W101" s="248">
        <f t="shared" si="11"/>
        <v>1694</v>
      </c>
      <c r="X101" s="250">
        <v>0.1</v>
      </c>
      <c r="Y101" s="251">
        <f t="shared" si="12"/>
        <v>169.4</v>
      </c>
      <c r="Z101" s="251">
        <f t="shared" si="13"/>
        <v>169.4</v>
      </c>
      <c r="AA101" s="252">
        <v>0.1</v>
      </c>
      <c r="AB101" s="251">
        <f t="shared" si="14"/>
        <v>169.4</v>
      </c>
      <c r="AC101" s="249">
        <f>'Inventário'!F35</f>
        <v>10</v>
      </c>
      <c r="AD101" s="253">
        <f t="shared" si="15"/>
        <v>152.46</v>
      </c>
      <c r="AE101" s="132">
        <f t="shared" si="16"/>
        <v>152.46</v>
      </c>
      <c r="AF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13" t="s">
        <v>120</v>
      </c>
      <c r="T102" s="230" t="s">
        <v>29</v>
      </c>
      <c r="U102" s="248">
        <f>'Inventário'!E36</f>
        <v>55</v>
      </c>
      <c r="V102" s="249">
        <f>'Inventário'!D36</f>
        <v>2</v>
      </c>
      <c r="W102" s="248">
        <f t="shared" si="11"/>
        <v>110</v>
      </c>
      <c r="X102" s="250">
        <v>0.1</v>
      </c>
      <c r="Y102" s="251">
        <f t="shared" si="12"/>
        <v>11</v>
      </c>
      <c r="Z102" s="251">
        <f t="shared" si="13"/>
        <v>11</v>
      </c>
      <c r="AA102" s="252">
        <v>0.1</v>
      </c>
      <c r="AB102" s="251">
        <f t="shared" si="14"/>
        <v>11</v>
      </c>
      <c r="AC102" s="249">
        <f>'Inventário'!F36</f>
        <v>8</v>
      </c>
      <c r="AD102" s="253">
        <f t="shared" si="15"/>
        <v>12.375</v>
      </c>
      <c r="AE102" s="132">
        <f t="shared" si="16"/>
        <v>12.375</v>
      </c>
      <c r="AF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13" t="s">
        <v>154</v>
      </c>
      <c r="T103" s="230" t="s">
        <v>29</v>
      </c>
      <c r="U103" s="248">
        <f>'Inventário'!E37</f>
        <v>138</v>
      </c>
      <c r="V103" s="249">
        <f>'Inventário'!D37</f>
        <v>2</v>
      </c>
      <c r="W103" s="248">
        <f t="shared" si="11"/>
        <v>276</v>
      </c>
      <c r="X103" s="250">
        <v>0.1</v>
      </c>
      <c r="Y103" s="251">
        <f t="shared" si="12"/>
        <v>27.6</v>
      </c>
      <c r="Z103" s="251">
        <f t="shared" si="13"/>
        <v>27.6</v>
      </c>
      <c r="AA103" s="252">
        <v>0.1</v>
      </c>
      <c r="AB103" s="251">
        <f t="shared" si="14"/>
        <v>27.6</v>
      </c>
      <c r="AC103" s="249">
        <f>'Inventário'!F37</f>
        <v>8</v>
      </c>
      <c r="AD103" s="253">
        <f t="shared" si="15"/>
        <v>31.05</v>
      </c>
      <c r="AE103" s="132">
        <f t="shared" si="16"/>
        <v>31.05</v>
      </c>
      <c r="AF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13" t="s">
        <v>300</v>
      </c>
      <c r="T104" s="230" t="s">
        <v>29</v>
      </c>
      <c r="U104" s="248">
        <f>'Inventário'!E38</f>
        <v>698.49</v>
      </c>
      <c r="V104" s="249">
        <f>'Inventário'!D38</f>
        <v>10</v>
      </c>
      <c r="W104" s="248">
        <f t="shared" si="11"/>
        <v>6984.9</v>
      </c>
      <c r="X104" s="250">
        <v>0.1</v>
      </c>
      <c r="Y104" s="251">
        <f t="shared" si="12"/>
        <v>698.49</v>
      </c>
      <c r="Z104" s="251">
        <f t="shared" si="13"/>
        <v>698.49</v>
      </c>
      <c r="AA104" s="252">
        <v>0.1</v>
      </c>
      <c r="AB104" s="251">
        <f t="shared" si="14"/>
        <v>698.49</v>
      </c>
      <c r="AC104" s="249">
        <f>'Inventário'!F38</f>
        <v>8</v>
      </c>
      <c r="AD104" s="253">
        <f t="shared" si="15"/>
        <v>785.80125</v>
      </c>
      <c r="AE104" s="132">
        <f t="shared" si="16"/>
        <v>785.80125</v>
      </c>
      <c r="AF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13" t="s">
        <v>149</v>
      </c>
      <c r="T105" s="230" t="s">
        <v>29</v>
      </c>
      <c r="U105" s="248">
        <f>'Inventário'!E39</f>
        <v>0</v>
      </c>
      <c r="V105" s="249">
        <f>'Inventário'!D39</f>
        <v>0</v>
      </c>
      <c r="W105" s="248">
        <f t="shared" si="11"/>
        <v>0</v>
      </c>
      <c r="X105" s="250">
        <v>0.1</v>
      </c>
      <c r="Y105" s="251">
        <f t="shared" si="12"/>
        <v>0</v>
      </c>
      <c r="Z105" s="251">
        <f t="shared" si="13"/>
        <v>0</v>
      </c>
      <c r="AA105" s="252">
        <v>0.1</v>
      </c>
      <c r="AB105" s="251">
        <f t="shared" si="14"/>
        <v>0</v>
      </c>
      <c r="AC105" s="249">
        <f>'Inventário'!F39</f>
        <v>0</v>
      </c>
      <c r="AD105" s="253" t="str">
        <f t="shared" si="15"/>
        <v>#DIV/0!</v>
      </c>
      <c r="AE105" s="132">
        <f t="shared" si="16"/>
        <v>0</v>
      </c>
      <c r="AF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13" t="s">
        <v>142</v>
      </c>
      <c r="T106" s="230" t="s">
        <v>29</v>
      </c>
      <c r="U106" s="248">
        <f>'Inventário'!E40</f>
        <v>0</v>
      </c>
      <c r="V106" s="249">
        <f>'Inventário'!D40</f>
        <v>0</v>
      </c>
      <c r="W106" s="248">
        <f t="shared" si="11"/>
        <v>0</v>
      </c>
      <c r="X106" s="250">
        <v>0.1</v>
      </c>
      <c r="Y106" s="251">
        <f t="shared" si="12"/>
        <v>0</v>
      </c>
      <c r="Z106" s="251">
        <f t="shared" si="13"/>
        <v>0</v>
      </c>
      <c r="AA106" s="252">
        <v>0.1</v>
      </c>
      <c r="AB106" s="251">
        <f t="shared" si="14"/>
        <v>0</v>
      </c>
      <c r="AC106" s="249">
        <f>'Inventário'!F40</f>
        <v>0</v>
      </c>
      <c r="AD106" s="253" t="str">
        <f t="shared" si="15"/>
        <v>#DIV/0!</v>
      </c>
      <c r="AE106" s="132">
        <f t="shared" si="16"/>
        <v>0</v>
      </c>
      <c r="AF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13" t="s">
        <v>143</v>
      </c>
      <c r="T107" s="230" t="s">
        <v>29</v>
      </c>
      <c r="U107" s="248">
        <f>'Inventário'!E41</f>
        <v>0</v>
      </c>
      <c r="V107" s="249">
        <f>'Inventário'!D41</f>
        <v>0</v>
      </c>
      <c r="W107" s="248">
        <f t="shared" si="11"/>
        <v>0</v>
      </c>
      <c r="X107" s="250">
        <v>0.1</v>
      </c>
      <c r="Y107" s="251">
        <f t="shared" si="12"/>
        <v>0</v>
      </c>
      <c r="Z107" s="251">
        <f t="shared" si="13"/>
        <v>0</v>
      </c>
      <c r="AA107" s="252">
        <v>0.1</v>
      </c>
      <c r="AB107" s="251">
        <f t="shared" si="14"/>
        <v>0</v>
      </c>
      <c r="AC107" s="249">
        <f>'Inventário'!F41</f>
        <v>0</v>
      </c>
      <c r="AD107" s="253" t="str">
        <f t="shared" si="15"/>
        <v>#DIV/0!</v>
      </c>
      <c r="AE107" s="132">
        <f t="shared" si="16"/>
        <v>0</v>
      </c>
      <c r="AF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13" t="s">
        <v>152</v>
      </c>
      <c r="T108" s="230" t="s">
        <v>29</v>
      </c>
      <c r="U108" s="248">
        <f>'Inventário'!E42</f>
        <v>0</v>
      </c>
      <c r="V108" s="249">
        <f>'Inventário'!D42</f>
        <v>0</v>
      </c>
      <c r="W108" s="248">
        <f t="shared" si="11"/>
        <v>0</v>
      </c>
      <c r="X108" s="250">
        <v>0.1</v>
      </c>
      <c r="Y108" s="251">
        <f t="shared" si="12"/>
        <v>0</v>
      </c>
      <c r="Z108" s="251">
        <f t="shared" si="13"/>
        <v>0</v>
      </c>
      <c r="AA108" s="252">
        <v>0.1</v>
      </c>
      <c r="AB108" s="251">
        <f t="shared" si="14"/>
        <v>0</v>
      </c>
      <c r="AC108" s="249">
        <f>'Inventário'!F42</f>
        <v>0</v>
      </c>
      <c r="AD108" s="253" t="str">
        <f t="shared" si="15"/>
        <v>#DIV/0!</v>
      </c>
      <c r="AE108" s="132">
        <f t="shared" si="16"/>
        <v>0</v>
      </c>
      <c r="AF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13" t="s">
        <v>145</v>
      </c>
      <c r="T109" s="230" t="s">
        <v>29</v>
      </c>
      <c r="U109" s="248">
        <f>'Inventário'!E43</f>
        <v>0</v>
      </c>
      <c r="V109" s="249">
        <f>'Inventário'!D43</f>
        <v>0</v>
      </c>
      <c r="W109" s="248">
        <f t="shared" si="11"/>
        <v>0</v>
      </c>
      <c r="X109" s="250">
        <v>0.1</v>
      </c>
      <c r="Y109" s="251">
        <f t="shared" si="12"/>
        <v>0</v>
      </c>
      <c r="Z109" s="251">
        <f t="shared" si="13"/>
        <v>0</v>
      </c>
      <c r="AA109" s="252">
        <v>0.1</v>
      </c>
      <c r="AB109" s="251">
        <f t="shared" si="14"/>
        <v>0</v>
      </c>
      <c r="AC109" s="249">
        <f>'Inventário'!F43</f>
        <v>0</v>
      </c>
      <c r="AD109" s="253" t="str">
        <f t="shared" si="15"/>
        <v>#DIV/0!</v>
      </c>
      <c r="AE109" s="132">
        <f t="shared" si="16"/>
        <v>0</v>
      </c>
      <c r="AF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13" t="s">
        <v>155</v>
      </c>
      <c r="T110" s="230" t="s">
        <v>29</v>
      </c>
      <c r="U110" s="248">
        <f>'Inventário'!E44</f>
        <v>0</v>
      </c>
      <c r="V110" s="249">
        <f>'Inventário'!D44</f>
        <v>0</v>
      </c>
      <c r="W110" s="248">
        <f t="shared" si="11"/>
        <v>0</v>
      </c>
      <c r="X110" s="250">
        <v>0.1</v>
      </c>
      <c r="Y110" s="251">
        <f t="shared" si="12"/>
        <v>0</v>
      </c>
      <c r="Z110" s="251">
        <f t="shared" si="13"/>
        <v>0</v>
      </c>
      <c r="AA110" s="252">
        <v>0.1</v>
      </c>
      <c r="AB110" s="251">
        <f t="shared" si="14"/>
        <v>0</v>
      </c>
      <c r="AC110" s="249">
        <f>'Inventário'!F44</f>
        <v>0</v>
      </c>
      <c r="AD110" s="253" t="str">
        <f t="shared" si="15"/>
        <v>#DIV/0!</v>
      </c>
      <c r="AE110" s="132">
        <f t="shared" si="16"/>
        <v>0</v>
      </c>
      <c r="AF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13" t="s">
        <v>156</v>
      </c>
      <c r="T111" s="230" t="s">
        <v>29</v>
      </c>
      <c r="U111" s="248">
        <f>'Inventário'!E45</f>
        <v>0</v>
      </c>
      <c r="V111" s="249">
        <f>'Inventário'!D45</f>
        <v>0</v>
      </c>
      <c r="W111" s="248">
        <f t="shared" si="11"/>
        <v>0</v>
      </c>
      <c r="X111" s="250">
        <v>0.1</v>
      </c>
      <c r="Y111" s="251">
        <f t="shared" si="12"/>
        <v>0</v>
      </c>
      <c r="Z111" s="251">
        <f t="shared" si="13"/>
        <v>0</v>
      </c>
      <c r="AA111" s="252">
        <v>0.1</v>
      </c>
      <c r="AB111" s="251">
        <f t="shared" si="14"/>
        <v>0</v>
      </c>
      <c r="AC111" s="249">
        <f>'Inventário'!F45</f>
        <v>0</v>
      </c>
      <c r="AD111" s="253" t="str">
        <f t="shared" si="15"/>
        <v>#DIV/0!</v>
      </c>
      <c r="AE111" s="132">
        <f t="shared" si="16"/>
        <v>0</v>
      </c>
      <c r="AF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13" t="s">
        <v>157</v>
      </c>
      <c r="T112" s="230" t="s">
        <v>29</v>
      </c>
      <c r="U112" s="248">
        <f>'Inventário'!E46</f>
        <v>0</v>
      </c>
      <c r="V112" s="249">
        <f>'Inventário'!D46</f>
        <v>0</v>
      </c>
      <c r="W112" s="248">
        <f t="shared" si="11"/>
        <v>0</v>
      </c>
      <c r="X112" s="250">
        <v>0.1</v>
      </c>
      <c r="Y112" s="251">
        <f t="shared" si="12"/>
        <v>0</v>
      </c>
      <c r="Z112" s="251">
        <f t="shared" si="13"/>
        <v>0</v>
      </c>
      <c r="AA112" s="252">
        <v>0.1</v>
      </c>
      <c r="AB112" s="251">
        <f t="shared" si="14"/>
        <v>0</v>
      </c>
      <c r="AC112" s="249">
        <f>'Inventário'!F46</f>
        <v>0</v>
      </c>
      <c r="AD112" s="253" t="str">
        <f t="shared" si="15"/>
        <v>#DIV/0!</v>
      </c>
      <c r="AE112" s="132">
        <f t="shared" si="16"/>
        <v>0</v>
      </c>
      <c r="AF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13" t="s">
        <v>158</v>
      </c>
      <c r="T113" s="230" t="s">
        <v>29</v>
      </c>
      <c r="U113" s="248">
        <f>'Inventário'!E47</f>
        <v>0</v>
      </c>
      <c r="V113" s="249">
        <f>'Inventário'!D47</f>
        <v>0</v>
      </c>
      <c r="W113" s="248">
        <f t="shared" si="11"/>
        <v>0</v>
      </c>
      <c r="X113" s="250">
        <v>0.1</v>
      </c>
      <c r="Y113" s="251">
        <f t="shared" si="12"/>
        <v>0</v>
      </c>
      <c r="Z113" s="251">
        <f t="shared" si="13"/>
        <v>0</v>
      </c>
      <c r="AA113" s="252">
        <v>0.1</v>
      </c>
      <c r="AB113" s="251">
        <f t="shared" si="14"/>
        <v>0</v>
      </c>
      <c r="AC113" s="249">
        <f>'Inventário'!F47</f>
        <v>0</v>
      </c>
      <c r="AD113" s="253" t="str">
        <f t="shared" si="15"/>
        <v>#DIV/0!</v>
      </c>
      <c r="AE113" s="132">
        <f t="shared" si="16"/>
        <v>0</v>
      </c>
      <c r="AF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13" t="s">
        <v>159</v>
      </c>
      <c r="T114" s="230" t="s">
        <v>29</v>
      </c>
      <c r="U114" s="248">
        <f>'Inventário'!E48</f>
        <v>0</v>
      </c>
      <c r="V114" s="249">
        <f>'Inventário'!D48</f>
        <v>0</v>
      </c>
      <c r="W114" s="248">
        <f t="shared" si="11"/>
        <v>0</v>
      </c>
      <c r="X114" s="250">
        <v>0.1</v>
      </c>
      <c r="Y114" s="251">
        <f t="shared" si="12"/>
        <v>0</v>
      </c>
      <c r="Z114" s="251">
        <f t="shared" si="13"/>
        <v>0</v>
      </c>
      <c r="AA114" s="252">
        <v>0.1</v>
      </c>
      <c r="AB114" s="251">
        <f t="shared" si="14"/>
        <v>0</v>
      </c>
      <c r="AC114" s="249">
        <f>'Inventário'!F48</f>
        <v>0</v>
      </c>
      <c r="AD114" s="253" t="str">
        <f t="shared" si="15"/>
        <v>#DIV/0!</v>
      </c>
      <c r="AE114" s="132">
        <f t="shared" si="16"/>
        <v>0</v>
      </c>
      <c r="AF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36">
        <f>SUM(W91:W114)</f>
        <v>25628.59</v>
      </c>
      <c r="X115" s="1"/>
      <c r="Y115" s="236">
        <f t="shared" ref="Y115:Z115" si="17">SUM(Y91:Y114)</f>
        <v>2562.859</v>
      </c>
      <c r="Z115" s="236">
        <f t="shared" si="17"/>
        <v>2562.859</v>
      </c>
      <c r="AA115" s="1"/>
      <c r="AB115" s="1"/>
      <c r="AC115" s="1"/>
      <c r="AD115" s="132" t="str">
        <f t="shared" ref="AD115:AE115" si="18">SUM(AD91:AD114)</f>
        <v>#DIV/0!</v>
      </c>
      <c r="AE115" s="132">
        <f t="shared" si="18"/>
        <v>2142.25845</v>
      </c>
      <c r="AF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21"/>
      <c r="T118" s="222"/>
      <c r="U118" s="222"/>
      <c r="V118" s="223"/>
      <c r="W118" s="224"/>
      <c r="X118" s="225" t="s">
        <v>288</v>
      </c>
      <c r="Y118" s="24"/>
      <c r="Z118" s="226"/>
      <c r="AA118" s="225" t="s">
        <v>289</v>
      </c>
      <c r="AB118" s="227"/>
      <c r="AC118" s="227"/>
      <c r="AD118" s="24"/>
      <c r="AE118" s="1"/>
      <c r="AF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28" t="s">
        <v>160</v>
      </c>
      <c r="T119" s="229" t="s">
        <v>290</v>
      </c>
      <c r="U119" s="229" t="s">
        <v>291</v>
      </c>
      <c r="V119" s="229" t="s">
        <v>301</v>
      </c>
      <c r="W119" s="228" t="s">
        <v>293</v>
      </c>
      <c r="X119" s="228" t="s">
        <v>294</v>
      </c>
      <c r="Y119" s="228" t="s">
        <v>295</v>
      </c>
      <c r="Z119" s="228" t="s">
        <v>295</v>
      </c>
      <c r="AA119" s="228" t="s">
        <v>296</v>
      </c>
      <c r="AB119" s="228" t="s">
        <v>297</v>
      </c>
      <c r="AC119" s="228" t="s">
        <v>298</v>
      </c>
      <c r="AD119" s="228" t="s">
        <v>289</v>
      </c>
      <c r="AE119" s="1"/>
      <c r="AF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13" t="s">
        <v>302</v>
      </c>
      <c r="T120" s="230" t="s">
        <v>49</v>
      </c>
      <c r="U120" s="231">
        <f>'Inventário'!E50</f>
        <v>300</v>
      </c>
      <c r="V120" s="223">
        <f>'Inventário'!D50</f>
        <v>5</v>
      </c>
      <c r="W120" s="232">
        <f t="shared" ref="W120:W137" si="19">V120*U120</f>
        <v>1500</v>
      </c>
      <c r="X120" s="233">
        <v>0.02</v>
      </c>
      <c r="Y120" s="234">
        <f t="shared" ref="Y120:Y137" si="20">W120*X120</f>
        <v>30</v>
      </c>
      <c r="Z120" s="234">
        <f t="shared" ref="Z120:Z137" si="21">IFERROR(Y120,0)</f>
        <v>30</v>
      </c>
      <c r="AA120" s="233">
        <v>0.2</v>
      </c>
      <c r="AB120" s="234">
        <f t="shared" ref="AB120:AB137" si="22">AA120*W120</f>
        <v>300</v>
      </c>
      <c r="AC120" s="235">
        <f>'Inventário'!F50</f>
        <v>100</v>
      </c>
      <c r="AD120" s="234">
        <f t="shared" ref="AD120:AD133" si="23">(W120-AB120)/AC120</f>
        <v>12</v>
      </c>
      <c r="AE120" s="132">
        <f t="shared" ref="AE120:AE133" si="24">IFERROR(AD120,0)</f>
        <v>12</v>
      </c>
      <c r="AF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13" t="s">
        <v>173</v>
      </c>
      <c r="T121" s="230" t="s">
        <v>49</v>
      </c>
      <c r="U121" s="231">
        <f>'Inventário'!E51</f>
        <v>300</v>
      </c>
      <c r="V121" s="223">
        <f>'Inventário'!D51</f>
        <v>5</v>
      </c>
      <c r="W121" s="232">
        <f t="shared" si="19"/>
        <v>1500</v>
      </c>
      <c r="X121" s="233">
        <v>0.02</v>
      </c>
      <c r="Y121" s="234">
        <f t="shared" si="20"/>
        <v>30</v>
      </c>
      <c r="Z121" s="234">
        <f t="shared" si="21"/>
        <v>30</v>
      </c>
      <c r="AA121" s="233">
        <v>0.2</v>
      </c>
      <c r="AB121" s="234">
        <f t="shared" si="22"/>
        <v>300</v>
      </c>
      <c r="AC121" s="235">
        <f>'Inventário'!F51</f>
        <v>100</v>
      </c>
      <c r="AD121" s="234">
        <f t="shared" si="23"/>
        <v>12</v>
      </c>
      <c r="AE121" s="132">
        <f t="shared" si="24"/>
        <v>12</v>
      </c>
      <c r="AF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13" t="s">
        <v>303</v>
      </c>
      <c r="T122" s="230" t="s">
        <v>49</v>
      </c>
      <c r="U122" s="231">
        <f>'Inventário'!E52</f>
        <v>6.7</v>
      </c>
      <c r="V122" s="223">
        <f>'Inventário'!D52</f>
        <v>600</v>
      </c>
      <c r="W122" s="232">
        <f t="shared" si="19"/>
        <v>4020</v>
      </c>
      <c r="X122" s="233">
        <v>0.02</v>
      </c>
      <c r="Y122" s="234">
        <f t="shared" si="20"/>
        <v>80.4</v>
      </c>
      <c r="Z122" s="234">
        <f t="shared" si="21"/>
        <v>80.4</v>
      </c>
      <c r="AA122" s="233">
        <v>0.2</v>
      </c>
      <c r="AB122" s="234">
        <f t="shared" si="22"/>
        <v>804</v>
      </c>
      <c r="AC122" s="235">
        <f>'Inventário'!F52</f>
        <v>30</v>
      </c>
      <c r="AD122" s="234">
        <f t="shared" si="23"/>
        <v>107.2</v>
      </c>
      <c r="AE122" s="132">
        <f t="shared" si="24"/>
        <v>107.2</v>
      </c>
      <c r="AF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13" t="s">
        <v>168</v>
      </c>
      <c r="T123" s="230" t="s">
        <v>49</v>
      </c>
      <c r="U123" s="231">
        <f>'Inventário'!E53</f>
        <v>740</v>
      </c>
      <c r="V123" s="223">
        <f>'Inventário'!D53</f>
        <v>1</v>
      </c>
      <c r="W123" s="232">
        <f t="shared" si="19"/>
        <v>740</v>
      </c>
      <c r="X123" s="233">
        <v>0.02</v>
      </c>
      <c r="Y123" s="234">
        <f t="shared" si="20"/>
        <v>14.8</v>
      </c>
      <c r="Z123" s="234">
        <f t="shared" si="21"/>
        <v>14.8</v>
      </c>
      <c r="AA123" s="233">
        <v>0.2</v>
      </c>
      <c r="AB123" s="234">
        <f t="shared" si="22"/>
        <v>148</v>
      </c>
      <c r="AC123" s="235">
        <f>'Inventário'!F53</f>
        <v>70</v>
      </c>
      <c r="AD123" s="234">
        <f t="shared" si="23"/>
        <v>8.457142857</v>
      </c>
      <c r="AE123" s="132">
        <f t="shared" si="24"/>
        <v>8.457142857</v>
      </c>
      <c r="AF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13" t="s">
        <v>170</v>
      </c>
      <c r="T124" s="230" t="s">
        <v>49</v>
      </c>
      <c r="U124" s="231">
        <f>'Inventário'!E54</f>
        <v>0</v>
      </c>
      <c r="V124" s="223">
        <f>'Inventário'!D54</f>
        <v>0</v>
      </c>
      <c r="W124" s="232">
        <f t="shared" si="19"/>
        <v>0</v>
      </c>
      <c r="X124" s="233">
        <v>0.02</v>
      </c>
      <c r="Y124" s="234">
        <f t="shared" si="20"/>
        <v>0</v>
      </c>
      <c r="Z124" s="234">
        <f t="shared" si="21"/>
        <v>0</v>
      </c>
      <c r="AA124" s="233">
        <v>0.2</v>
      </c>
      <c r="AB124" s="234">
        <f t="shared" si="22"/>
        <v>0</v>
      </c>
      <c r="AC124" s="235">
        <f>'Inventário'!F54</f>
        <v>0</v>
      </c>
      <c r="AD124" s="234" t="str">
        <f t="shared" si="23"/>
        <v>#DIV/0!</v>
      </c>
      <c r="AE124" s="132">
        <f t="shared" si="24"/>
        <v>0</v>
      </c>
      <c r="AF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13" t="s">
        <v>174</v>
      </c>
      <c r="T125" s="230" t="s">
        <v>49</v>
      </c>
      <c r="U125" s="231">
        <f>'Inventário'!E55</f>
        <v>0</v>
      </c>
      <c r="V125" s="223">
        <f>'Inventário'!D55</f>
        <v>0</v>
      </c>
      <c r="W125" s="232">
        <f t="shared" si="19"/>
        <v>0</v>
      </c>
      <c r="X125" s="233">
        <v>0.02</v>
      </c>
      <c r="Y125" s="234">
        <f t="shared" si="20"/>
        <v>0</v>
      </c>
      <c r="Z125" s="234">
        <f t="shared" si="21"/>
        <v>0</v>
      </c>
      <c r="AA125" s="233">
        <v>0.2</v>
      </c>
      <c r="AB125" s="234">
        <f t="shared" si="22"/>
        <v>0</v>
      </c>
      <c r="AC125" s="235">
        <f>'Inventário'!F55</f>
        <v>0</v>
      </c>
      <c r="AD125" s="234" t="str">
        <f t="shared" si="23"/>
        <v>#DIV/0!</v>
      </c>
      <c r="AE125" s="132">
        <f t="shared" si="24"/>
        <v>0</v>
      </c>
      <c r="AF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13" t="s">
        <v>176</v>
      </c>
      <c r="T126" s="230" t="s">
        <v>49</v>
      </c>
      <c r="U126" s="231">
        <f>'Inventário'!E56</f>
        <v>0</v>
      </c>
      <c r="V126" s="223">
        <f>'Inventário'!D56</f>
        <v>0</v>
      </c>
      <c r="W126" s="232">
        <f t="shared" si="19"/>
        <v>0</v>
      </c>
      <c r="X126" s="233">
        <v>0.02</v>
      </c>
      <c r="Y126" s="234">
        <f t="shared" si="20"/>
        <v>0</v>
      </c>
      <c r="Z126" s="234">
        <f t="shared" si="21"/>
        <v>0</v>
      </c>
      <c r="AA126" s="233">
        <v>0.2</v>
      </c>
      <c r="AB126" s="234">
        <f t="shared" si="22"/>
        <v>0</v>
      </c>
      <c r="AC126" s="235">
        <f>'Inventário'!F56</f>
        <v>0</v>
      </c>
      <c r="AD126" s="234" t="str">
        <f t="shared" si="23"/>
        <v>#DIV/0!</v>
      </c>
      <c r="AE126" s="132">
        <f t="shared" si="24"/>
        <v>0</v>
      </c>
      <c r="AF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13" t="s">
        <v>177</v>
      </c>
      <c r="T127" s="230" t="s">
        <v>49</v>
      </c>
      <c r="U127" s="231">
        <f>'Inventário'!E57</f>
        <v>0</v>
      </c>
      <c r="V127" s="223">
        <f>'Inventário'!D57</f>
        <v>0</v>
      </c>
      <c r="W127" s="232">
        <f t="shared" si="19"/>
        <v>0</v>
      </c>
      <c r="X127" s="233">
        <v>0.02</v>
      </c>
      <c r="Y127" s="234">
        <f t="shared" si="20"/>
        <v>0</v>
      </c>
      <c r="Z127" s="234">
        <f t="shared" si="21"/>
        <v>0</v>
      </c>
      <c r="AA127" s="233">
        <v>0.2</v>
      </c>
      <c r="AB127" s="234">
        <f t="shared" si="22"/>
        <v>0</v>
      </c>
      <c r="AC127" s="235">
        <f>'Inventário'!F57</f>
        <v>0</v>
      </c>
      <c r="AD127" s="234" t="str">
        <f t="shared" si="23"/>
        <v>#DIV/0!</v>
      </c>
      <c r="AE127" s="132">
        <f t="shared" si="24"/>
        <v>0</v>
      </c>
      <c r="AF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13" t="s">
        <v>38</v>
      </c>
      <c r="T128" s="230" t="s">
        <v>49</v>
      </c>
      <c r="U128" s="231">
        <f>'Inventário'!E58</f>
        <v>56.78</v>
      </c>
      <c r="V128" s="223">
        <f>'Inventário'!D58</f>
        <v>36</v>
      </c>
      <c r="W128" s="232">
        <f t="shared" si="19"/>
        <v>2044.08</v>
      </c>
      <c r="X128" s="233">
        <v>0.02</v>
      </c>
      <c r="Y128" s="234">
        <f t="shared" si="20"/>
        <v>40.8816</v>
      </c>
      <c r="Z128" s="234">
        <f t="shared" si="21"/>
        <v>40.8816</v>
      </c>
      <c r="AA128" s="233">
        <v>0.2</v>
      </c>
      <c r="AB128" s="234">
        <f t="shared" si="22"/>
        <v>408.816</v>
      </c>
      <c r="AC128" s="235">
        <f>'Inventário'!F58</f>
        <v>30</v>
      </c>
      <c r="AD128" s="234">
        <f t="shared" si="23"/>
        <v>54.5088</v>
      </c>
      <c r="AE128" s="132">
        <f t="shared" si="24"/>
        <v>54.5088</v>
      </c>
      <c r="AF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13" t="s">
        <v>39</v>
      </c>
      <c r="T129" s="230" t="s">
        <v>49</v>
      </c>
      <c r="U129" s="231">
        <f>'Inventário'!E59</f>
        <v>56.78</v>
      </c>
      <c r="V129" s="223">
        <f>'Inventário'!D59</f>
        <v>36</v>
      </c>
      <c r="W129" s="232">
        <f t="shared" si="19"/>
        <v>2044.08</v>
      </c>
      <c r="X129" s="233">
        <v>0.02</v>
      </c>
      <c r="Y129" s="234">
        <f t="shared" si="20"/>
        <v>40.8816</v>
      </c>
      <c r="Z129" s="234">
        <f t="shared" si="21"/>
        <v>40.8816</v>
      </c>
      <c r="AA129" s="233">
        <v>0.2</v>
      </c>
      <c r="AB129" s="234">
        <f t="shared" si="22"/>
        <v>408.816</v>
      </c>
      <c r="AC129" s="235">
        <f>'Inventário'!F59</f>
        <v>30</v>
      </c>
      <c r="AD129" s="234">
        <f t="shared" si="23"/>
        <v>54.5088</v>
      </c>
      <c r="AE129" s="132">
        <f t="shared" si="24"/>
        <v>54.5088</v>
      </c>
      <c r="AF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13" t="s">
        <v>40</v>
      </c>
      <c r="T130" s="230" t="s">
        <v>49</v>
      </c>
      <c r="U130" s="231">
        <f>'Inventário'!E60</f>
        <v>56.78</v>
      </c>
      <c r="V130" s="223">
        <f>'Inventário'!D60</f>
        <v>36</v>
      </c>
      <c r="W130" s="232">
        <f t="shared" si="19"/>
        <v>2044.08</v>
      </c>
      <c r="X130" s="233">
        <v>0.02</v>
      </c>
      <c r="Y130" s="234">
        <f t="shared" si="20"/>
        <v>40.8816</v>
      </c>
      <c r="Z130" s="234">
        <f t="shared" si="21"/>
        <v>40.8816</v>
      </c>
      <c r="AA130" s="233">
        <v>0.2</v>
      </c>
      <c r="AB130" s="234">
        <f t="shared" si="22"/>
        <v>408.816</v>
      </c>
      <c r="AC130" s="235">
        <f>'Inventário'!F60</f>
        <v>30</v>
      </c>
      <c r="AD130" s="234">
        <f t="shared" si="23"/>
        <v>54.5088</v>
      </c>
      <c r="AE130" s="132">
        <f t="shared" si="24"/>
        <v>54.5088</v>
      </c>
      <c r="AF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13" t="s">
        <v>41</v>
      </c>
      <c r="T131" s="230" t="s">
        <v>49</v>
      </c>
      <c r="U131" s="231">
        <f>'Inventário'!E61</f>
        <v>56.78</v>
      </c>
      <c r="V131" s="223">
        <f>'Inventário'!D61</f>
        <v>36</v>
      </c>
      <c r="W131" s="232">
        <f t="shared" si="19"/>
        <v>2044.08</v>
      </c>
      <c r="X131" s="233">
        <v>0.02</v>
      </c>
      <c r="Y131" s="234">
        <f t="shared" si="20"/>
        <v>40.8816</v>
      </c>
      <c r="Z131" s="234">
        <f t="shared" si="21"/>
        <v>40.8816</v>
      </c>
      <c r="AA131" s="233">
        <v>0.2</v>
      </c>
      <c r="AB131" s="234">
        <f t="shared" si="22"/>
        <v>408.816</v>
      </c>
      <c r="AC131" s="235">
        <f>'Inventário'!F61</f>
        <v>30</v>
      </c>
      <c r="AD131" s="234">
        <f t="shared" si="23"/>
        <v>54.5088</v>
      </c>
      <c r="AE131" s="132">
        <f t="shared" si="24"/>
        <v>54.5088</v>
      </c>
      <c r="AF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13" t="s">
        <v>42</v>
      </c>
      <c r="T132" s="230" t="s">
        <v>49</v>
      </c>
      <c r="U132" s="231">
        <f>'Inventário'!E62</f>
        <v>56.78</v>
      </c>
      <c r="V132" s="223">
        <f>'Inventário'!D62</f>
        <v>36</v>
      </c>
      <c r="W132" s="232">
        <f t="shared" si="19"/>
        <v>2044.08</v>
      </c>
      <c r="X132" s="233">
        <v>0.02</v>
      </c>
      <c r="Y132" s="234">
        <f t="shared" si="20"/>
        <v>40.8816</v>
      </c>
      <c r="Z132" s="234">
        <f t="shared" si="21"/>
        <v>40.8816</v>
      </c>
      <c r="AA132" s="233">
        <v>0.2</v>
      </c>
      <c r="AB132" s="234">
        <f t="shared" si="22"/>
        <v>408.816</v>
      </c>
      <c r="AC132" s="235">
        <f>'Inventário'!F62</f>
        <v>30</v>
      </c>
      <c r="AD132" s="234">
        <f t="shared" si="23"/>
        <v>54.5088</v>
      </c>
      <c r="AE132" s="132">
        <f t="shared" si="24"/>
        <v>54.5088</v>
      </c>
      <c r="AF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13" t="s">
        <v>43</v>
      </c>
      <c r="T133" s="230" t="s">
        <v>49</v>
      </c>
      <c r="U133" s="231">
        <f>'Inventário'!E63</f>
        <v>56.78</v>
      </c>
      <c r="V133" s="223">
        <f>'Inventário'!D63</f>
        <v>36</v>
      </c>
      <c r="W133" s="232">
        <f t="shared" si="19"/>
        <v>2044.08</v>
      </c>
      <c r="X133" s="233">
        <v>0.02</v>
      </c>
      <c r="Y133" s="234">
        <f t="shared" si="20"/>
        <v>40.8816</v>
      </c>
      <c r="Z133" s="234">
        <f t="shared" si="21"/>
        <v>40.8816</v>
      </c>
      <c r="AA133" s="233">
        <v>0.2</v>
      </c>
      <c r="AB133" s="234">
        <f t="shared" si="22"/>
        <v>408.816</v>
      </c>
      <c r="AC133" s="235">
        <f>'Inventário'!F67</f>
        <v>30</v>
      </c>
      <c r="AD133" s="234">
        <f t="shared" si="23"/>
        <v>54.5088</v>
      </c>
      <c r="AE133" s="132">
        <f t="shared" si="24"/>
        <v>54.5088</v>
      </c>
      <c r="AF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13" t="s">
        <v>44</v>
      </c>
      <c r="T134" s="230" t="s">
        <v>49</v>
      </c>
      <c r="U134" s="231">
        <f>'Inventário'!E64</f>
        <v>56.78</v>
      </c>
      <c r="V134" s="223">
        <f>'Inventário'!D64</f>
        <v>36</v>
      </c>
      <c r="W134" s="232">
        <f t="shared" si="19"/>
        <v>2044.08</v>
      </c>
      <c r="X134" s="233">
        <v>0.02</v>
      </c>
      <c r="Y134" s="234">
        <f t="shared" si="20"/>
        <v>40.8816</v>
      </c>
      <c r="Z134" s="234">
        <f t="shared" si="21"/>
        <v>40.8816</v>
      </c>
      <c r="AA134" s="233">
        <v>0.2</v>
      </c>
      <c r="AB134" s="234">
        <f t="shared" si="22"/>
        <v>408.816</v>
      </c>
      <c r="AC134" s="235" t="str">
        <f>'Inventário'!F68</f>
        <v/>
      </c>
      <c r="AD134" s="232" t="str">
        <f t="shared" ref="AD134:AE134" si="25">SUM(AD120:AD133)</f>
        <v>#DIV/0!</v>
      </c>
      <c r="AE134" s="132">
        <f t="shared" si="25"/>
        <v>466.7099429</v>
      </c>
      <c r="AF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13" t="s">
        <v>45</v>
      </c>
      <c r="T135" s="230" t="s">
        <v>49</v>
      </c>
      <c r="U135" s="231">
        <f>'Inventário'!E65</f>
        <v>56.78</v>
      </c>
      <c r="V135" s="223">
        <f>'Inventário'!D65</f>
        <v>36</v>
      </c>
      <c r="W135" s="232">
        <f t="shared" si="19"/>
        <v>2044.08</v>
      </c>
      <c r="X135" s="233">
        <v>0.02</v>
      </c>
      <c r="Y135" s="234">
        <f t="shared" si="20"/>
        <v>40.8816</v>
      </c>
      <c r="Z135" s="234">
        <f t="shared" si="21"/>
        <v>40.8816</v>
      </c>
      <c r="AA135" s="233">
        <v>0.2</v>
      </c>
      <c r="AB135" s="234">
        <f t="shared" si="22"/>
        <v>408.816</v>
      </c>
      <c r="AC135" s="254">
        <f>'Inventário'!F69</f>
        <v>61029.39</v>
      </c>
      <c r="AD135" s="232" t="str">
        <f t="shared" ref="AD135:AE135" si="26">SUM(AD121:AD134)</f>
        <v>#DIV/0!</v>
      </c>
      <c r="AE135" s="132">
        <f t="shared" si="26"/>
        <v>921.4198857</v>
      </c>
      <c r="AF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13" t="s">
        <v>46</v>
      </c>
      <c r="T136" s="230" t="s">
        <v>49</v>
      </c>
      <c r="U136" s="231">
        <f>'Inventário'!E66</f>
        <v>56.78</v>
      </c>
      <c r="V136" s="223">
        <f>'Inventário'!D66</f>
        <v>36</v>
      </c>
      <c r="W136" s="232">
        <f t="shared" si="19"/>
        <v>2044.08</v>
      </c>
      <c r="X136" s="233">
        <v>0.02</v>
      </c>
      <c r="Y136" s="234">
        <f t="shared" si="20"/>
        <v>40.8816</v>
      </c>
      <c r="Z136" s="234">
        <f t="shared" si="21"/>
        <v>40.8816</v>
      </c>
      <c r="AA136" s="233">
        <v>0.2</v>
      </c>
      <c r="AB136" s="234">
        <f t="shared" si="22"/>
        <v>408.816</v>
      </c>
      <c r="AC136" s="235" t="str">
        <f>'Inventário'!F70</f>
        <v/>
      </c>
      <c r="AD136" s="232" t="str">
        <f t="shared" ref="AD136:AE136" si="27">SUM(AD122:AD135)</f>
        <v>#DIV/0!</v>
      </c>
      <c r="AE136" s="132">
        <f t="shared" si="27"/>
        <v>1830.839771</v>
      </c>
      <c r="AF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13" t="s">
        <v>47</v>
      </c>
      <c r="T137" s="230" t="s">
        <v>49</v>
      </c>
      <c r="U137" s="231">
        <f>'Inventário'!E67</f>
        <v>56.78</v>
      </c>
      <c r="V137" s="223">
        <f>'Inventário'!D67</f>
        <v>36</v>
      </c>
      <c r="W137" s="232">
        <f t="shared" si="19"/>
        <v>2044.08</v>
      </c>
      <c r="X137" s="233">
        <v>0.02</v>
      </c>
      <c r="Y137" s="234">
        <f t="shared" si="20"/>
        <v>40.8816</v>
      </c>
      <c r="Z137" s="234">
        <f t="shared" si="21"/>
        <v>40.8816</v>
      </c>
      <c r="AA137" s="233">
        <v>0.2</v>
      </c>
      <c r="AB137" s="234">
        <f t="shared" si="22"/>
        <v>408.816</v>
      </c>
      <c r="AC137" s="235" t="str">
        <f>'Inventário'!F71</f>
        <v/>
      </c>
      <c r="AD137" s="232" t="str">
        <f t="shared" ref="AD137:AE137" si="28">SUM(AD123:AD136)</f>
        <v>#DIV/0!</v>
      </c>
      <c r="AE137" s="132">
        <f t="shared" si="28"/>
        <v>3554.479543</v>
      </c>
      <c r="AF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36">
        <f>SUM(W120:W137)</f>
        <v>28200.8</v>
      </c>
      <c r="X138" s="1"/>
      <c r="Y138" s="236">
        <f t="shared" ref="Y138:Z138" si="29">SUM(Y120:Y137)</f>
        <v>564.016</v>
      </c>
      <c r="Z138" s="236">
        <f t="shared" si="29"/>
        <v>564.016</v>
      </c>
      <c r="AA138" s="1"/>
      <c r="AB138" s="1"/>
      <c r="AC138" s="1"/>
      <c r="AD138" s="232" t="str">
        <f t="shared" ref="AD138:AE138" si="30">SUM(AD120:AD137)</f>
        <v>#DIV/0!</v>
      </c>
      <c r="AE138" s="132">
        <f t="shared" si="30"/>
        <v>7240.159086</v>
      </c>
      <c r="AF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53">
    <mergeCell ref="B27:C27"/>
    <mergeCell ref="B28:C28"/>
    <mergeCell ref="B29:C29"/>
    <mergeCell ref="D28:E28"/>
    <mergeCell ref="D29:E29"/>
    <mergeCell ref="C31:D31"/>
    <mergeCell ref="X72:Y72"/>
    <mergeCell ref="AA72:AD72"/>
    <mergeCell ref="X89:Y89"/>
    <mergeCell ref="AA89:AD89"/>
    <mergeCell ref="B2:E2"/>
    <mergeCell ref="B3:C3"/>
    <mergeCell ref="D3:E3"/>
    <mergeCell ref="B4:C4"/>
    <mergeCell ref="D4:E4"/>
    <mergeCell ref="B5:C5"/>
    <mergeCell ref="D5:E5"/>
    <mergeCell ref="B9:C9"/>
    <mergeCell ref="B10:C10"/>
    <mergeCell ref="B11:C11"/>
    <mergeCell ref="B12:C12"/>
    <mergeCell ref="B13:C13"/>
    <mergeCell ref="B14:C14"/>
    <mergeCell ref="B6:C6"/>
    <mergeCell ref="D6:E6"/>
    <mergeCell ref="B7:C7"/>
    <mergeCell ref="D7:E7"/>
    <mergeCell ref="B8:C8"/>
    <mergeCell ref="D8:E8"/>
    <mergeCell ref="D9:E9"/>
    <mergeCell ref="D10:E10"/>
    <mergeCell ref="D11:E11"/>
    <mergeCell ref="D12:E12"/>
    <mergeCell ref="D13:E13"/>
    <mergeCell ref="D14:E14"/>
    <mergeCell ref="B18:E18"/>
    <mergeCell ref="D19:E19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D27:E27"/>
    <mergeCell ref="X118:Y118"/>
    <mergeCell ref="AA118:AD118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2.38"/>
    <col customWidth="1" min="3" max="3" width="16.5"/>
    <col customWidth="1" min="4" max="4" width="13.5"/>
    <col customWidth="1" min="5" max="5" width="12.38"/>
    <col customWidth="1" min="6" max="7" width="14.5"/>
    <col customWidth="1" min="8" max="9" width="13.75"/>
    <col customWidth="1" min="10" max="10" width="11.13"/>
    <col customWidth="1" min="11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264</v>
      </c>
      <c r="C2" s="31"/>
      <c r="D2" s="31"/>
      <c r="E2" s="31"/>
      <c r="F2" s="31"/>
      <c r="G2" s="31"/>
      <c r="H2" s="3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92" t="s">
        <v>15</v>
      </c>
      <c r="C3" s="195" t="s">
        <v>266</v>
      </c>
      <c r="D3" s="195" t="s">
        <v>83</v>
      </c>
      <c r="E3" s="195" t="s">
        <v>267</v>
      </c>
      <c r="F3" s="195" t="s">
        <v>48</v>
      </c>
      <c r="G3" s="195" t="s">
        <v>48</v>
      </c>
      <c r="H3" s="196" t="s">
        <v>268</v>
      </c>
      <c r="I3" s="198" t="s">
        <v>270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2" t="s">
        <v>271</v>
      </c>
      <c r="C4" s="33" t="s">
        <v>27</v>
      </c>
      <c r="D4" s="33" t="s">
        <v>272</v>
      </c>
      <c r="E4" s="33" t="s">
        <v>187</v>
      </c>
      <c r="F4" s="33" t="s">
        <v>49</v>
      </c>
      <c r="G4" s="33" t="s">
        <v>37</v>
      </c>
      <c r="H4" s="199" t="s">
        <v>273</v>
      </c>
      <c r="I4" s="200" t="s">
        <v>274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35" t="s">
        <v>38</v>
      </c>
      <c r="C5" s="52">
        <f>IF('Parâmetros Recria'!D15&gt;'Parâmetros Engorda'!D15,'Parâmetros Recria'!D15,IF('Parâmetros Engorda'!D15&gt;'Parâmetros Terminação'!D15,'Parâmetros Engorda'!D15,IF('Parâmetros Terminação'!D15&gt;'Parâmetros Monofásico'!D15,'Parâmetros Terminação'!D15,'Parâmetros Monofásico'!D15)))</f>
        <v>5440</v>
      </c>
      <c r="D5" s="40">
        <f>'Parâmetros econômicos-mercado'!$E$11</f>
        <v>6</v>
      </c>
      <c r="E5" s="202">
        <f t="shared" ref="E5:E14" si="1">D5*C5</f>
        <v>32640</v>
      </c>
      <c r="F5" s="70">
        <f>IF('Parâmetros Terminação'!AA3&gt;'Parâmetros Monofásico'!D5,'Parâmetros Terminação'!AA3,'Parâmetros Monofásico'!D5)</f>
        <v>36</v>
      </c>
      <c r="G5" s="70">
        <f t="shared" ref="G5:G14" si="2">F5/10000</f>
        <v>0.0036</v>
      </c>
      <c r="H5" s="204">
        <f t="shared" ref="H5:H15" si="3">IFERROR(E5/F5,0)</f>
        <v>906.6666667</v>
      </c>
      <c r="I5" s="107">
        <f t="shared" ref="I5:I15" si="4">IFERROR(E5/G5,0)</f>
        <v>9066666.667</v>
      </c>
      <c r="J5" s="1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5" t="s">
        <v>39</v>
      </c>
      <c r="C6" s="52">
        <f>IF('Parâmetros Recria'!E15&gt;'Parâmetros Engorda'!E15,'Parâmetros Recria'!E15,IF('Parâmetros Engorda'!E15&gt;'Parâmetros Terminação'!E15,'Parâmetros Engorda'!E15,IF('Parâmetros Terminação'!E15&gt;'Parâmetros Monofásico'!E15,'Parâmetros Terminação'!E15,'Parâmetros Monofásico'!E15)))</f>
        <v>5440</v>
      </c>
      <c r="D6" s="40">
        <f>'Parâmetros econômicos-mercado'!$E$11</f>
        <v>6</v>
      </c>
      <c r="E6" s="202">
        <f t="shared" si="1"/>
        <v>32640</v>
      </c>
      <c r="F6" s="70">
        <f>IF('Parâmetros Terminação'!AB3&gt;'Parâmetros Monofásico'!E5,'Parâmetros Terminação'!AB3,'Parâmetros Monofásico'!E5)</f>
        <v>36</v>
      </c>
      <c r="G6" s="70">
        <f t="shared" si="2"/>
        <v>0.0036</v>
      </c>
      <c r="H6" s="204">
        <f t="shared" si="3"/>
        <v>906.6666667</v>
      </c>
      <c r="I6" s="107">
        <f t="shared" si="4"/>
        <v>9066666.667</v>
      </c>
      <c r="J6" s="1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5" t="s">
        <v>40</v>
      </c>
      <c r="C7" s="52">
        <f>IF('Parâmetros Recria'!F15&gt;'Parâmetros Engorda'!F15,'Parâmetros Recria'!F15,IF('Parâmetros Engorda'!F15&gt;'Parâmetros Terminação'!F15,'Parâmetros Engorda'!F15,IF('Parâmetros Terminação'!F15&gt;'Parâmetros Monofásico'!F15,'Parâmetros Terminação'!F15,'Parâmetros Monofásico'!F15)))</f>
        <v>5440</v>
      </c>
      <c r="D7" s="40">
        <f>'Parâmetros econômicos-mercado'!$E$11</f>
        <v>6</v>
      </c>
      <c r="E7" s="202">
        <f t="shared" si="1"/>
        <v>32640</v>
      </c>
      <c r="F7" s="70">
        <f>IF('Parâmetros Terminação'!AC3&gt;'Parâmetros Monofásico'!F5,'Parâmetros Terminação'!AC3,'Parâmetros Monofásico'!F5)</f>
        <v>36</v>
      </c>
      <c r="G7" s="70">
        <f t="shared" si="2"/>
        <v>0.0036</v>
      </c>
      <c r="H7" s="204">
        <f t="shared" si="3"/>
        <v>906.6666667</v>
      </c>
      <c r="I7" s="107">
        <f t="shared" si="4"/>
        <v>9066666.667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35" t="s">
        <v>41</v>
      </c>
      <c r="C8" s="52">
        <f>IF('Parâmetros Recria'!G15&gt;'Parâmetros Engorda'!G15,'Parâmetros Recria'!G15,IF('Parâmetros Engorda'!G15&gt;'Parâmetros Terminação'!G15,'Parâmetros Engorda'!G15,IF('Parâmetros Terminação'!G15&gt;'Parâmetros Monofásico'!G15,'Parâmetros Terminação'!G15,'Parâmetros Monofásico'!G15)))</f>
        <v>5440</v>
      </c>
      <c r="D8" s="40">
        <f>'Parâmetros econômicos-mercado'!$E$11</f>
        <v>6</v>
      </c>
      <c r="E8" s="202">
        <f t="shared" si="1"/>
        <v>32640</v>
      </c>
      <c r="F8" s="70">
        <f>IF('Parâmetros Terminação'!AD3&gt;'Parâmetros Monofásico'!G5,'Parâmetros Terminação'!AD3,'Parâmetros Monofásico'!G5)</f>
        <v>36</v>
      </c>
      <c r="G8" s="70">
        <f t="shared" si="2"/>
        <v>0.0036</v>
      </c>
      <c r="H8" s="204">
        <f t="shared" si="3"/>
        <v>906.6666667</v>
      </c>
      <c r="I8" s="107">
        <f t="shared" si="4"/>
        <v>9066666.667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" t="s">
        <v>42</v>
      </c>
      <c r="C9" s="52">
        <f>IF('Parâmetros Recria'!H15&gt;'Parâmetros Engorda'!H15,'Parâmetros Recria'!H15,IF('Parâmetros Engorda'!H15&gt;'Parâmetros Terminação'!H15,'Parâmetros Engorda'!H15,IF('Parâmetros Terminação'!H15&gt;'Parâmetros Monofásico'!H15,'Parâmetros Terminação'!H15,'Parâmetros Monofásico'!H15)))</f>
        <v>5440</v>
      </c>
      <c r="D9" s="40">
        <f>'Parâmetros econômicos-mercado'!$E$11</f>
        <v>6</v>
      </c>
      <c r="E9" s="202">
        <f t="shared" si="1"/>
        <v>32640</v>
      </c>
      <c r="F9" s="70">
        <f>IF('Parâmetros Terminação'!AE3&gt;'Parâmetros Monofásico'!H5,'Parâmetros Terminação'!AE3,'Parâmetros Monofásico'!H5)</f>
        <v>36</v>
      </c>
      <c r="G9" s="70">
        <f t="shared" si="2"/>
        <v>0.0036</v>
      </c>
      <c r="H9" s="204">
        <f t="shared" si="3"/>
        <v>906.6666667</v>
      </c>
      <c r="I9" s="107">
        <f t="shared" si="4"/>
        <v>9066666.667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" t="s">
        <v>43</v>
      </c>
      <c r="C10" s="52">
        <f>IF('Parâmetros Recria'!I15&gt;'Parâmetros Engorda'!I15,'Parâmetros Recria'!I15,IF('Parâmetros Engorda'!I15&gt;'Parâmetros Terminação'!I15,'Parâmetros Engorda'!I15,IF('Parâmetros Terminação'!I15&gt;'Parâmetros Monofásico'!I15,'Parâmetros Terminação'!I15,'Parâmetros Monofásico'!I15)))</f>
        <v>5440</v>
      </c>
      <c r="D10" s="40">
        <f>'Parâmetros econômicos-mercado'!$E$11</f>
        <v>6</v>
      </c>
      <c r="E10" s="202">
        <f t="shared" si="1"/>
        <v>32640</v>
      </c>
      <c r="F10" s="70">
        <f>IF('Parâmetros Terminação'!AF3&gt;'Parâmetros Monofásico'!I5,'Parâmetros Terminação'!AF3,'Parâmetros Monofásico'!I5)</f>
        <v>36</v>
      </c>
      <c r="G10" s="70">
        <f t="shared" si="2"/>
        <v>0.0036</v>
      </c>
      <c r="H10" s="204">
        <f t="shared" si="3"/>
        <v>906.6666667</v>
      </c>
      <c r="I10" s="107">
        <f t="shared" si="4"/>
        <v>9066666.667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44</v>
      </c>
      <c r="C11" s="52">
        <f>IF('Parâmetros Recria'!J15&gt;'Parâmetros Engorda'!J15,'Parâmetros Recria'!J15,IF('Parâmetros Engorda'!J15&gt;'Parâmetros Terminação'!J15,'Parâmetros Engorda'!J15,IF('Parâmetros Terminação'!J15&gt;'Parâmetros Monofásico'!J15,'Parâmetros Terminação'!J15,'Parâmetros Monofásico'!J15)))</f>
        <v>5440</v>
      </c>
      <c r="D11" s="40">
        <f>'Parâmetros econômicos-mercado'!$E$11</f>
        <v>6</v>
      </c>
      <c r="E11" s="202">
        <f t="shared" si="1"/>
        <v>32640</v>
      </c>
      <c r="F11" s="70">
        <f>IF('Parâmetros Terminação'!AG3&gt;'Parâmetros Monofásico'!J5,'Parâmetros Terminação'!AG3,'Parâmetros Monofásico'!J5)</f>
        <v>36</v>
      </c>
      <c r="G11" s="70">
        <f t="shared" si="2"/>
        <v>0.0036</v>
      </c>
      <c r="H11" s="204">
        <f t="shared" si="3"/>
        <v>906.6666667</v>
      </c>
      <c r="I11" s="107">
        <f t="shared" si="4"/>
        <v>9066666.667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5" t="s">
        <v>45</v>
      </c>
      <c r="C12" s="52">
        <f>IF('Parâmetros Recria'!K15&gt;'Parâmetros Engorda'!K15,'Parâmetros Recria'!K15,IF('Parâmetros Engorda'!K15&gt;'Parâmetros Terminação'!K15,'Parâmetros Engorda'!K15,IF('Parâmetros Terminação'!K15&gt;'Parâmetros Monofásico'!K15,'Parâmetros Terminação'!K15,'Parâmetros Monofásico'!K15)))</f>
        <v>5440</v>
      </c>
      <c r="D12" s="40">
        <f>'Parâmetros econômicos-mercado'!$E$11</f>
        <v>6</v>
      </c>
      <c r="E12" s="202">
        <f t="shared" si="1"/>
        <v>32640</v>
      </c>
      <c r="F12" s="70">
        <f>IF('Parâmetros Terminação'!AH3&gt;'Parâmetros Monofásico'!K5,'Parâmetros Terminação'!AH3,'Parâmetros Monofásico'!K5)</f>
        <v>36</v>
      </c>
      <c r="G12" s="70">
        <f t="shared" si="2"/>
        <v>0.0036</v>
      </c>
      <c r="H12" s="204">
        <f t="shared" si="3"/>
        <v>906.6666667</v>
      </c>
      <c r="I12" s="107">
        <f t="shared" si="4"/>
        <v>9066666.667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5" t="s">
        <v>46</v>
      </c>
      <c r="C13" s="52">
        <f>IF('Parâmetros Recria'!L15&gt;'Parâmetros Engorda'!L15,'Parâmetros Recria'!L15,IF('Parâmetros Engorda'!L15&gt;'Parâmetros Terminação'!L15,'Parâmetros Engorda'!L15,IF('Parâmetros Terminação'!L15&gt;'Parâmetros Monofásico'!L15,'Parâmetros Terminação'!L15,'Parâmetros Monofásico'!L15)))</f>
        <v>5440</v>
      </c>
      <c r="D13" s="40">
        <f>'Parâmetros econômicos-mercado'!$E$11</f>
        <v>6</v>
      </c>
      <c r="E13" s="202">
        <f t="shared" si="1"/>
        <v>32640</v>
      </c>
      <c r="F13" s="70">
        <f>IF('Parâmetros Terminação'!AI3&gt;'Parâmetros Monofásico'!L5,'Parâmetros Terminação'!AI3,'Parâmetros Monofásico'!L5)</f>
        <v>36</v>
      </c>
      <c r="G13" s="70">
        <f t="shared" si="2"/>
        <v>0.0036</v>
      </c>
      <c r="H13" s="204">
        <f t="shared" si="3"/>
        <v>906.6666667</v>
      </c>
      <c r="I13" s="107">
        <f t="shared" si="4"/>
        <v>9066666.667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5" t="s">
        <v>47</v>
      </c>
      <c r="C14" s="52">
        <f>IF('Parâmetros Recria'!M15&gt;'Parâmetros Engorda'!M15,'Parâmetros Recria'!M15,IF('Parâmetros Engorda'!M15&gt;'Parâmetros Terminação'!M15,'Parâmetros Engorda'!M15,IF('Parâmetros Terminação'!M15&gt;'Parâmetros Monofásico'!M15,'Parâmetros Terminação'!M15,'Parâmetros Monofásico'!M15)))</f>
        <v>5440</v>
      </c>
      <c r="D14" s="40">
        <f>'Parâmetros econômicos-mercado'!$E$11</f>
        <v>6</v>
      </c>
      <c r="E14" s="202">
        <f t="shared" si="1"/>
        <v>32640</v>
      </c>
      <c r="F14" s="70">
        <f>IF('Parâmetros Terminação'!AJ3&gt;'Parâmetros Monofásico'!M5,'Parâmetros Terminação'!AJ3,'Parâmetros Monofásico'!M5)</f>
        <v>36</v>
      </c>
      <c r="G14" s="70">
        <f t="shared" si="2"/>
        <v>0.0036</v>
      </c>
      <c r="H14" s="204">
        <f t="shared" si="3"/>
        <v>906.6666667</v>
      </c>
      <c r="I14" s="107">
        <f t="shared" si="4"/>
        <v>9066666.667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10" t="s">
        <v>280</v>
      </c>
      <c r="C15" s="70">
        <f>SUM(C5:C14)</f>
        <v>54400</v>
      </c>
      <c r="D15" s="202">
        <f>AVERAGE(D5:D14)</f>
        <v>6</v>
      </c>
      <c r="E15" s="202">
        <f t="shared" ref="E15:G15" si="5">SUM(E5:E14)</f>
        <v>326400</v>
      </c>
      <c r="F15" s="79">
        <f t="shared" si="5"/>
        <v>360</v>
      </c>
      <c r="G15" s="79">
        <f t="shared" si="5"/>
        <v>0.036</v>
      </c>
      <c r="H15" s="211">
        <f t="shared" si="3"/>
        <v>906.6666667</v>
      </c>
      <c r="I15" s="155">
        <f t="shared" si="4"/>
        <v>9066666.667</v>
      </c>
      <c r="J15" s="13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28" t="s">
        <v>281</v>
      </c>
      <c r="C16" s="163">
        <v>0.0</v>
      </c>
      <c r="D16" s="212">
        <v>0.0</v>
      </c>
      <c r="E16" s="112">
        <f t="shared" ref="E16:E18" si="6">D16*C16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9" t="s">
        <v>31</v>
      </c>
      <c r="C17" s="82">
        <v>0.0</v>
      </c>
      <c r="D17" s="213">
        <v>0.0</v>
      </c>
      <c r="E17" s="107">
        <f t="shared" si="6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tr">
        <f>'Parâmetros econômicos-mercado'!B14</f>
        <v>Outras receitas 3</v>
      </c>
      <c r="C18" s="93">
        <v>0.0</v>
      </c>
      <c r="D18" s="213">
        <v>0.0</v>
      </c>
      <c r="E18" s="107">
        <f t="shared" si="6"/>
        <v>0</v>
      </c>
      <c r="F18" s="132"/>
      <c r="G18" s="13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14" t="s">
        <v>282</v>
      </c>
      <c r="C19" s="215"/>
      <c r="D19" s="28"/>
      <c r="E19" s="155">
        <f>SUM(E15:E18)</f>
        <v>326400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I2"/>
    <mergeCell ref="B19:D19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8.38"/>
    <col customWidth="1" min="3" max="3" width="11.75"/>
    <col customWidth="1" min="4" max="4" width="14.88"/>
    <col customWidth="1" min="5" max="5" width="8.5"/>
    <col customWidth="1" min="6" max="6" width="36.5"/>
    <col customWidth="1" min="7" max="7" width="10.25"/>
    <col customWidth="1" min="8" max="8" width="11.13"/>
    <col customWidth="1" min="9" max="9" width="8.0"/>
    <col customWidth="1" min="10" max="10" width="29.75"/>
    <col customWidth="1" min="11" max="11" width="8.25"/>
    <col customWidth="1" min="12" max="12" width="11.13"/>
    <col customWidth="1" min="13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92" t="s">
        <v>304</v>
      </c>
      <c r="C2" s="195" t="s">
        <v>16</v>
      </c>
      <c r="D2" s="196" t="s">
        <v>84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4" t="s">
        <v>305</v>
      </c>
      <c r="C3" s="55" t="s">
        <v>187</v>
      </c>
      <c r="D3" s="112">
        <f>'Custos fixos'!$C$31</f>
        <v>68066.5988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5" t="s">
        <v>306</v>
      </c>
      <c r="C4" s="36" t="s">
        <v>187</v>
      </c>
      <c r="D4" s="107">
        <f>'Custos variáveis'!E50</f>
        <v>176147.9</v>
      </c>
      <c r="E4" s="1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2" t="s">
        <v>307</v>
      </c>
      <c r="C5" s="43" t="s">
        <v>187</v>
      </c>
      <c r="D5" s="155">
        <f>SUM(D3:D4)</f>
        <v>244214.4988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49"/>
      <c r="D6" s="4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92" t="s">
        <v>308</v>
      </c>
      <c r="C7" s="195" t="s">
        <v>16</v>
      </c>
      <c r="D7" s="255" t="s">
        <v>82</v>
      </c>
      <c r="E7" s="120"/>
      <c r="F7" s="192" t="s">
        <v>309</v>
      </c>
      <c r="G7" s="195" t="s">
        <v>16</v>
      </c>
      <c r="H7" s="255" t="s">
        <v>82</v>
      </c>
      <c r="I7" s="1"/>
      <c r="J7" s="192" t="s">
        <v>310</v>
      </c>
      <c r="K7" s="195" t="s">
        <v>16</v>
      </c>
      <c r="L7" s="255" t="s">
        <v>82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54" t="s">
        <v>311</v>
      </c>
      <c r="C8" s="55" t="s">
        <v>272</v>
      </c>
      <c r="D8" s="112">
        <f>IF(Receitas!$C$15&gt;0,+D5/Receitas!$C$15,0)</f>
        <v>4.48923711</v>
      </c>
      <c r="E8" s="49"/>
      <c r="F8" s="54" t="s">
        <v>312</v>
      </c>
      <c r="G8" s="55" t="s">
        <v>37</v>
      </c>
      <c r="H8" s="69">
        <f>IF('Dados gerais'!C9="Monofásico",SUM('Parâmetros Monofásico'!D19:M19),SUM('Parâmetros Terminação'!AA4:AJ4))</f>
        <v>0.036</v>
      </c>
      <c r="I8" s="1"/>
      <c r="J8" s="54" t="s">
        <v>313</v>
      </c>
      <c r="K8" s="55" t="s">
        <v>53</v>
      </c>
      <c r="L8" s="256">
        <f>SUM('Custos fixos'!C16,'Custos fixos'!C17)</f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" t="s">
        <v>314</v>
      </c>
      <c r="C9" s="36" t="s">
        <v>272</v>
      </c>
      <c r="D9" s="107">
        <f>IF(Receitas!C15&gt;0,+Indicadores!D3/Receitas!C15,0)</f>
        <v>1.251224243</v>
      </c>
      <c r="E9" s="49"/>
      <c r="F9" s="35" t="s">
        <v>315</v>
      </c>
      <c r="G9" s="36" t="s">
        <v>65</v>
      </c>
      <c r="H9" s="71">
        <f>IFERROR(IF('Custos fixos'!L5&gt;'Custos fixos'!M3,'Custos fixos'!L5,'Custos fixos'!M3),0)</f>
        <v>9.2</v>
      </c>
      <c r="I9" s="1"/>
      <c r="J9" s="35" t="s">
        <v>316</v>
      </c>
      <c r="K9" s="36" t="s">
        <v>272</v>
      </c>
      <c r="L9" s="107">
        <f>IF(Receitas!$C$15&gt;0,+SUM('Custos fixos'!D14,'Custos variáveis'!G35,'Custos variáveis'!G33)/Receitas!$C$15,0)</f>
        <v>0.4069852941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" t="s">
        <v>317</v>
      </c>
      <c r="C10" s="36" t="s">
        <v>272</v>
      </c>
      <c r="D10" s="107">
        <f>IF(Receitas!C15&gt;0,+Indicadores!D4/Receitas!C15,0)</f>
        <v>3.238012868</v>
      </c>
      <c r="E10" s="49"/>
      <c r="F10" s="35" t="s">
        <v>318</v>
      </c>
      <c r="G10" s="36"/>
      <c r="H10" s="97">
        <f>IFERROR(AVERAGEIF('Parâmetros Recria'!D23:M23,"&gt;0"),0)</f>
        <v>0</v>
      </c>
      <c r="I10" s="1"/>
      <c r="J10" s="35" t="s">
        <v>319</v>
      </c>
      <c r="K10" s="36" t="s">
        <v>320</v>
      </c>
      <c r="L10" s="107">
        <f>SUM('Custos fixos'!E16,'Custos fixos'!E17,'Custos variáveis'!G33,'Custos variáveis'!G35)</f>
        <v>22140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321</v>
      </c>
      <c r="C11" s="36" t="s">
        <v>20</v>
      </c>
      <c r="D11" s="257">
        <f>IFERROR(D16/D12,0)</f>
        <v>0.2517938149</v>
      </c>
      <c r="E11" s="49"/>
      <c r="F11" s="35" t="s">
        <v>322</v>
      </c>
      <c r="G11" s="36"/>
      <c r="H11" s="97">
        <f>IFERROR(AVERAGEIF('Parâmetros Engorda'!D23:M23,"&gt;0"),0)</f>
        <v>0</v>
      </c>
      <c r="I11" s="1"/>
      <c r="J11" s="42" t="s">
        <v>323</v>
      </c>
      <c r="K11" s="43" t="s">
        <v>27</v>
      </c>
      <c r="L11" s="80">
        <f>IFERROR(Receitas!C15/Indicadores!L8,0)</f>
        <v>54400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5" t="s">
        <v>264</v>
      </c>
      <c r="C12" s="36" t="s">
        <v>187</v>
      </c>
      <c r="D12" s="107">
        <f>Receitas!$E$19</f>
        <v>326400</v>
      </c>
      <c r="E12" s="49"/>
      <c r="F12" s="35" t="s">
        <v>324</v>
      </c>
      <c r="G12" s="36"/>
      <c r="H12" s="97">
        <f>IFERROR(AVERAGEIF('Parâmetros Terminação'!D23:M23,"&gt;0"),0)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5" t="s">
        <v>325</v>
      </c>
      <c r="C13" s="36" t="s">
        <v>273</v>
      </c>
      <c r="D13" s="107">
        <f>Receitas!H15</f>
        <v>906.6666667</v>
      </c>
      <c r="E13" s="49"/>
      <c r="F13" s="35" t="s">
        <v>326</v>
      </c>
      <c r="G13" s="36"/>
      <c r="H13" s="97">
        <f>IFERROR(AVERAGEIF('Parâmetros Monofásico'!D23:M23,"&gt;0"),0)</f>
        <v>1.105379514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5" t="s">
        <v>327</v>
      </c>
      <c r="C14" s="36" t="s">
        <v>274</v>
      </c>
      <c r="D14" s="107">
        <f>IFERROR(D12/H9,0)</f>
        <v>35478.26087</v>
      </c>
      <c r="E14" s="49"/>
      <c r="F14" s="35" t="s">
        <v>328</v>
      </c>
      <c r="G14" s="36" t="s">
        <v>272</v>
      </c>
      <c r="H14" s="107">
        <f>IF(Receitas!$C$15&gt;0,+'Custos variáveis'!G17/Receitas!$C$15,0)</f>
        <v>2.536764706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" t="s">
        <v>329</v>
      </c>
      <c r="C15" s="36" t="s">
        <v>187</v>
      </c>
      <c r="D15" s="107">
        <f>+Receitas!$E$19-D4</f>
        <v>150252.1</v>
      </c>
      <c r="E15" s="49"/>
      <c r="F15" s="35" t="s">
        <v>330</v>
      </c>
      <c r="G15" s="36" t="s">
        <v>272</v>
      </c>
      <c r="H15" s="107">
        <f>'Custos variáveis'!G17</f>
        <v>138000</v>
      </c>
      <c r="I15" s="1"/>
      <c r="J15" s="13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5" t="s">
        <v>331</v>
      </c>
      <c r="C16" s="36" t="s">
        <v>187</v>
      </c>
      <c r="D16" s="107">
        <f>D12-D5</f>
        <v>82185.5012</v>
      </c>
      <c r="E16" s="49"/>
      <c r="F16" s="35" t="s">
        <v>332</v>
      </c>
      <c r="G16" s="36" t="s">
        <v>27</v>
      </c>
      <c r="H16" s="71">
        <f>IF(Receitas!$D$15&gt;0,H22*D5/D12,0)</f>
        <v>40702.41647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 t="s">
        <v>333</v>
      </c>
      <c r="C17" s="36" t="s">
        <v>273</v>
      </c>
      <c r="D17" s="107">
        <f>IFERROR(D16/H8,0)</f>
        <v>2282930.589</v>
      </c>
      <c r="E17" s="49"/>
      <c r="F17" s="35" t="s">
        <v>334</v>
      </c>
      <c r="G17" s="36" t="s">
        <v>27</v>
      </c>
      <c r="H17" s="71">
        <f>SUM('Custos variáveis'!E17)</f>
        <v>60000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335</v>
      </c>
      <c r="C18" s="36" t="s">
        <v>274</v>
      </c>
      <c r="D18" s="107">
        <f>IFERROR(D16/H9,0)</f>
        <v>8933.206652</v>
      </c>
      <c r="E18" s="49"/>
      <c r="F18" s="35" t="s">
        <v>336</v>
      </c>
      <c r="G18" s="36" t="s">
        <v>70</v>
      </c>
      <c r="H18" s="71">
        <f>IFERROR(AVERAGEIF('Parâmetros Recria'!D21:M21,"&gt;0"),0)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5" t="s">
        <v>337</v>
      </c>
      <c r="C19" s="36" t="s">
        <v>272</v>
      </c>
      <c r="D19" s="107">
        <f>IFERROR(D16/Receitas!C15,0)</f>
        <v>1.51076289</v>
      </c>
      <c r="E19" s="49"/>
      <c r="F19" s="35" t="s">
        <v>338</v>
      </c>
      <c r="G19" s="36" t="s">
        <v>70</v>
      </c>
      <c r="H19" s="71">
        <f>IFERROR(AVERAGEIF('Parâmetros Engorda'!D21:M21,"&gt;0"),0)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5" t="s">
        <v>339</v>
      </c>
      <c r="C20" s="36" t="s">
        <v>320</v>
      </c>
      <c r="D20" s="107">
        <f>+D8</f>
        <v>4.48923711</v>
      </c>
      <c r="E20" s="49"/>
      <c r="F20" s="35" t="s">
        <v>340</v>
      </c>
      <c r="G20" s="36" t="s">
        <v>70</v>
      </c>
      <c r="H20" s="71">
        <f>IFERROR(AVERAGEIF('Parâmetros Terminação'!D21:M21,"&gt;0"),0)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5" t="s">
        <v>341</v>
      </c>
      <c r="C21" s="36" t="s">
        <v>272</v>
      </c>
      <c r="D21" s="107">
        <f>Receitas!D15</f>
        <v>6</v>
      </c>
      <c r="E21" s="49"/>
      <c r="F21" s="35" t="s">
        <v>342</v>
      </c>
      <c r="G21" s="36" t="s">
        <v>70</v>
      </c>
      <c r="H21" s="71">
        <f>IFERROR(AVERAGEIF('Parâmetros Monofásico'!D21:M21,"&gt;0"),0)</f>
        <v>151.1111111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42" t="s">
        <v>343</v>
      </c>
      <c r="C22" s="43" t="s">
        <v>20</v>
      </c>
      <c r="D22" s="258">
        <f>IFERROR(D16/'Inventário'!F69,0)</f>
        <v>1.346654476</v>
      </c>
      <c r="E22" s="49"/>
      <c r="F22" s="42" t="s">
        <v>344</v>
      </c>
      <c r="G22" s="43" t="s">
        <v>27</v>
      </c>
      <c r="H22" s="80">
        <f>SUM(Receitas!C15)</f>
        <v>54400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4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4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2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4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2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20"/>
      <c r="F28" s="13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4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5"/>
    <col customWidth="1" min="3" max="3" width="12.88"/>
    <col customWidth="1" hidden="1" min="4" max="6" width="12.5"/>
    <col customWidth="1" min="7" max="7" width="16.88"/>
    <col customWidth="1" min="8" max="8" width="14.0"/>
    <col customWidth="1" min="9" max="9" width="8.13"/>
    <col customWidth="1" min="10" max="11" width="8.0"/>
    <col customWidth="1" min="12" max="12" width="25.25"/>
    <col customWidth="1" min="13" max="13" width="11.13"/>
    <col customWidth="1" min="14" max="14" width="8.0"/>
    <col customWidth="1" min="15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59" t="s">
        <v>345</v>
      </c>
      <c r="C2" s="21"/>
      <c r="D2" s="21"/>
      <c r="E2" s="21"/>
      <c r="F2" s="21"/>
      <c r="G2" s="21"/>
      <c r="H2" s="22"/>
      <c r="I2" s="142"/>
      <c r="J2" s="1"/>
      <c r="K2" s="1"/>
      <c r="L2" s="137"/>
      <c r="M2" s="13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60" t="s">
        <v>15</v>
      </c>
      <c r="C3" s="261" t="s">
        <v>320</v>
      </c>
      <c r="D3" s="261" t="s">
        <v>346</v>
      </c>
      <c r="E3" s="261" t="s">
        <v>347</v>
      </c>
      <c r="F3" s="261" t="s">
        <v>348</v>
      </c>
      <c r="G3" s="261" t="s">
        <v>349</v>
      </c>
      <c r="H3" s="262" t="s">
        <v>350</v>
      </c>
      <c r="I3" s="142"/>
      <c r="J3" s="1"/>
      <c r="K3" s="137"/>
      <c r="L3" s="137"/>
      <c r="M3" s="13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13" t="s">
        <v>245</v>
      </c>
      <c r="C4" s="263">
        <f>'Custos fixos'!D7</f>
        <v>283.0152826</v>
      </c>
      <c r="D4" s="264">
        <f t="shared" ref="D4:D10" si="2">C4*$D$11/$C$11</f>
        <v>0.415791721</v>
      </c>
      <c r="E4" s="264">
        <f t="shared" ref="E4:E10" si="3">C4*$E$24/$C$24</f>
        <v>0.1158879935</v>
      </c>
      <c r="F4" s="264"/>
      <c r="G4" s="265">
        <f t="shared" ref="G4:H4" si="1">IFERROR(D4,0)</f>
        <v>0.415791721</v>
      </c>
      <c r="H4" s="266">
        <f t="shared" si="1"/>
        <v>0.1158879935</v>
      </c>
      <c r="I4" s="142"/>
      <c r="J4" s="1"/>
      <c r="K4" s="137"/>
      <c r="L4" s="137"/>
      <c r="M4" s="13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13" t="s">
        <v>249</v>
      </c>
      <c r="C5" s="263">
        <f>'Custos fixos'!D11</f>
        <v>0</v>
      </c>
      <c r="D5" s="264">
        <f t="shared" si="2"/>
        <v>0</v>
      </c>
      <c r="E5" s="264">
        <f t="shared" si="3"/>
        <v>0</v>
      </c>
      <c r="F5" s="264"/>
      <c r="G5" s="265">
        <f t="shared" ref="G5:H5" si="4">IFERROR(D5,0)</f>
        <v>0</v>
      </c>
      <c r="H5" s="266">
        <f t="shared" si="4"/>
        <v>0</v>
      </c>
      <c r="I5" s="142"/>
      <c r="J5" s="1"/>
      <c r="K5" s="137"/>
      <c r="L5" s="137"/>
      <c r="M5" s="1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13" t="s">
        <v>351</v>
      </c>
      <c r="C6" s="263">
        <f>'Custos fixos'!D3</f>
        <v>283.583521</v>
      </c>
      <c r="D6" s="264">
        <f t="shared" si="2"/>
        <v>0.416626548</v>
      </c>
      <c r="E6" s="264">
        <f t="shared" si="3"/>
        <v>0.1161206736</v>
      </c>
      <c r="F6" s="264"/>
      <c r="G6" s="265">
        <f t="shared" ref="G6:H6" si="5">IFERROR(D6,0)</f>
        <v>0.416626548</v>
      </c>
      <c r="H6" s="266">
        <f t="shared" si="5"/>
        <v>0.1161206736</v>
      </c>
      <c r="I6" s="142"/>
      <c r="J6" s="1"/>
      <c r="K6" s="137"/>
      <c r="L6" s="137"/>
      <c r="M6" s="13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3" t="s">
        <v>253</v>
      </c>
      <c r="C7" s="263">
        <f>'Custos fixos'!D14</f>
        <v>20700</v>
      </c>
      <c r="D7" s="264">
        <f t="shared" si="2"/>
        <v>30.41139173</v>
      </c>
      <c r="E7" s="264">
        <f t="shared" si="3"/>
        <v>8.476155225</v>
      </c>
      <c r="F7" s="264"/>
      <c r="G7" s="265">
        <f t="shared" ref="G7:H7" si="6">IFERROR(D7,0)</f>
        <v>30.41139173</v>
      </c>
      <c r="H7" s="266">
        <f t="shared" si="6"/>
        <v>8.476155225</v>
      </c>
      <c r="I7" s="142"/>
      <c r="J7" s="1"/>
      <c r="K7" s="137"/>
      <c r="L7" s="137"/>
      <c r="M7" s="13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13" t="s">
        <v>269</v>
      </c>
      <c r="C8" s="263">
        <f>'Custos fixos'!D25</f>
        <v>0</v>
      </c>
      <c r="D8" s="264">
        <f t="shared" si="2"/>
        <v>0</v>
      </c>
      <c r="E8" s="264">
        <f t="shared" si="3"/>
        <v>0</v>
      </c>
      <c r="F8" s="264"/>
      <c r="G8" s="265">
        <f t="shared" ref="G8:H8" si="7">IFERROR(D8,0)</f>
        <v>0</v>
      </c>
      <c r="H8" s="266">
        <f t="shared" si="7"/>
        <v>0</v>
      </c>
      <c r="I8" s="142"/>
      <c r="J8" s="1"/>
      <c r="K8" s="137"/>
      <c r="L8" s="137"/>
      <c r="M8" s="13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13" t="s">
        <v>259</v>
      </c>
      <c r="C9" s="263">
        <f>'Custos fixos'!D20</f>
        <v>46000</v>
      </c>
      <c r="D9" s="264">
        <f t="shared" si="2"/>
        <v>67.58087051</v>
      </c>
      <c r="E9" s="264">
        <f t="shared" si="3"/>
        <v>18.8359005</v>
      </c>
      <c r="F9" s="264"/>
      <c r="G9" s="265">
        <f t="shared" ref="G9:H9" si="8">IFERROR(D9,0)</f>
        <v>67.58087051</v>
      </c>
      <c r="H9" s="266">
        <f t="shared" si="8"/>
        <v>18.8359005</v>
      </c>
      <c r="I9" s="142"/>
      <c r="J9" s="1"/>
      <c r="K9" s="137"/>
      <c r="L9" s="137"/>
      <c r="M9" s="13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13" t="s">
        <v>352</v>
      </c>
      <c r="C10" s="263">
        <f>'Custos fixos'!D21</f>
        <v>800</v>
      </c>
      <c r="D10" s="264">
        <f t="shared" si="2"/>
        <v>1.175319487</v>
      </c>
      <c r="E10" s="264">
        <f t="shared" si="3"/>
        <v>0.3275808783</v>
      </c>
      <c r="F10" s="264"/>
      <c r="G10" s="265">
        <f t="shared" ref="G10:H10" si="9">IFERROR(D10,0)</f>
        <v>1.175319487</v>
      </c>
      <c r="H10" s="266">
        <f t="shared" si="9"/>
        <v>0.3275808783</v>
      </c>
      <c r="I10" s="142"/>
      <c r="J10" s="1"/>
      <c r="K10" s="137"/>
      <c r="L10" s="137"/>
      <c r="M10" s="13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3" t="s">
        <v>192</v>
      </c>
      <c r="C11" s="263">
        <f>SUM(C4:C10)</f>
        <v>68066.5988</v>
      </c>
      <c r="D11" s="264">
        <v>100.0</v>
      </c>
      <c r="E11" s="264"/>
      <c r="F11" s="264">
        <f>C11*D11/C24</f>
        <v>27.87164527</v>
      </c>
      <c r="G11" s="265">
        <f>SUM(G4:G10)</f>
        <v>100</v>
      </c>
      <c r="H11" s="266">
        <f>IFERROR(F11,0)</f>
        <v>27.87164527</v>
      </c>
      <c r="I11" s="142"/>
      <c r="J11" s="1"/>
      <c r="K11" s="137"/>
      <c r="L11" s="137"/>
      <c r="M11" s="13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72" t="s">
        <v>355</v>
      </c>
      <c r="C12" s="227"/>
      <c r="D12" s="227"/>
      <c r="E12" s="227"/>
      <c r="F12" s="227"/>
      <c r="G12" s="227"/>
      <c r="H12" s="176"/>
      <c r="I12" s="1"/>
      <c r="J12" s="1"/>
      <c r="K12" s="137"/>
      <c r="L12" s="137"/>
      <c r="M12" s="13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60" t="s">
        <v>15</v>
      </c>
      <c r="C13" s="261" t="s">
        <v>320</v>
      </c>
      <c r="D13" s="261" t="s">
        <v>366</v>
      </c>
      <c r="E13" s="261" t="s">
        <v>347</v>
      </c>
      <c r="F13" s="261" t="s">
        <v>367</v>
      </c>
      <c r="G13" s="261" t="s">
        <v>368</v>
      </c>
      <c r="H13" s="262" t="s">
        <v>350</v>
      </c>
      <c r="I13" s="1"/>
      <c r="J13" s="1"/>
      <c r="K13" s="137"/>
      <c r="L13" s="137"/>
      <c r="M13" s="13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13" t="s">
        <v>369</v>
      </c>
      <c r="C14" s="263">
        <f>'Custos variáveis'!G9</f>
        <v>11200</v>
      </c>
      <c r="D14" s="273">
        <f t="shared" ref="D14:D22" si="11">C14*$D$23/$C$23</f>
        <v>6.35829323</v>
      </c>
      <c r="E14" s="273">
        <f t="shared" ref="E14:E22" si="12">C14*$E$24/$C$24</f>
        <v>4.586132296</v>
      </c>
      <c r="F14" s="273"/>
      <c r="G14" s="265">
        <f t="shared" ref="G14:H14" si="10">IFERROR(D14,0)</f>
        <v>6.35829323</v>
      </c>
      <c r="H14" s="266">
        <f t="shared" si="10"/>
        <v>4.586132296</v>
      </c>
      <c r="I14" s="1"/>
      <c r="J14" s="1"/>
      <c r="K14" s="137"/>
      <c r="L14" s="137"/>
      <c r="M14" s="13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13" t="s">
        <v>193</v>
      </c>
      <c r="C15" s="263">
        <f>'Custos variáveis'!G17</f>
        <v>138000</v>
      </c>
      <c r="D15" s="273">
        <f t="shared" si="11"/>
        <v>78.34325587</v>
      </c>
      <c r="E15" s="273">
        <f t="shared" si="12"/>
        <v>56.5077015</v>
      </c>
      <c r="F15" s="273"/>
      <c r="G15" s="265">
        <f t="shared" ref="G15:H15" si="13">IFERROR(D15,0)</f>
        <v>78.34325587</v>
      </c>
      <c r="H15" s="266">
        <f t="shared" si="13"/>
        <v>56.5077015</v>
      </c>
      <c r="I15" s="1"/>
      <c r="J15" s="1"/>
      <c r="K15" s="137"/>
      <c r="L15" s="137"/>
      <c r="M15" s="13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13" t="s">
        <v>370</v>
      </c>
      <c r="C16" s="263">
        <f>'Custos variáveis'!G31</f>
        <v>284.28</v>
      </c>
      <c r="D16" s="273">
        <f t="shared" si="11"/>
        <v>0.1613871071</v>
      </c>
      <c r="E16" s="273">
        <f t="shared" si="12"/>
        <v>0.1164058651</v>
      </c>
      <c r="F16" s="273"/>
      <c r="G16" s="265">
        <f t="shared" ref="G16:H16" si="14">IFERROR(D16,0)</f>
        <v>0.1613871071</v>
      </c>
      <c r="H16" s="266">
        <f t="shared" si="14"/>
        <v>0.1164058651</v>
      </c>
      <c r="I16" s="1"/>
      <c r="J16" s="1"/>
      <c r="K16" s="137"/>
      <c r="L16" s="137"/>
      <c r="M16" s="1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13" t="s">
        <v>216</v>
      </c>
      <c r="C17" s="263">
        <f>'Custos variáveis'!G35</f>
        <v>0</v>
      </c>
      <c r="D17" s="273">
        <f t="shared" si="11"/>
        <v>0</v>
      </c>
      <c r="E17" s="273">
        <f t="shared" si="12"/>
        <v>0</v>
      </c>
      <c r="F17" s="273"/>
      <c r="G17" s="265">
        <f t="shared" ref="G17:H17" si="15">IFERROR(D17,0)</f>
        <v>0</v>
      </c>
      <c r="H17" s="266">
        <f t="shared" si="15"/>
        <v>0</v>
      </c>
      <c r="I17" s="1"/>
      <c r="J17" s="1"/>
      <c r="K17" s="137"/>
      <c r="L17" s="1"/>
      <c r="M17" s="13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13" t="s">
        <v>206</v>
      </c>
      <c r="C18" s="263">
        <f>SUM('Custos variáveis'!G24:G29)</f>
        <v>66.42</v>
      </c>
      <c r="D18" s="273">
        <f t="shared" si="11"/>
        <v>0.03770694967</v>
      </c>
      <c r="E18" s="273">
        <f t="shared" si="12"/>
        <v>0.02719740242</v>
      </c>
      <c r="F18" s="273"/>
      <c r="G18" s="265">
        <f t="shared" ref="G18:H18" si="16">IFERROR(D18,0)</f>
        <v>0.03770694967</v>
      </c>
      <c r="H18" s="266">
        <f t="shared" si="16"/>
        <v>0.02719740242</v>
      </c>
      <c r="I18" s="1"/>
      <c r="J18" s="1"/>
      <c r="K18" s="1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13" t="s">
        <v>200</v>
      </c>
      <c r="C19" s="263">
        <f>SUM('Custos variáveis'!G19:G22)</f>
        <v>0</v>
      </c>
      <c r="D19" s="265">
        <f t="shared" si="11"/>
        <v>0</v>
      </c>
      <c r="E19" s="265">
        <f t="shared" si="12"/>
        <v>0</v>
      </c>
      <c r="F19" s="265"/>
      <c r="G19" s="265">
        <f t="shared" ref="G19:H19" si="17">IFERROR(D19,0)</f>
        <v>0</v>
      </c>
      <c r="H19" s="266">
        <f t="shared" si="17"/>
        <v>0</v>
      </c>
      <c r="I19" s="1"/>
      <c r="J19" s="1"/>
      <c r="K19" s="1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13" t="s">
        <v>213</v>
      </c>
      <c r="C20" s="263">
        <f>'Custos variáveis'!G33</f>
        <v>1440</v>
      </c>
      <c r="D20" s="273">
        <f t="shared" si="11"/>
        <v>0.8174948438</v>
      </c>
      <c r="E20" s="273">
        <f t="shared" si="12"/>
        <v>0.5896455809</v>
      </c>
      <c r="F20" s="273"/>
      <c r="G20" s="265">
        <f t="shared" ref="G20:H20" si="18">IFERROR(D20,0)</f>
        <v>0.8174948438</v>
      </c>
      <c r="H20" s="266">
        <f t="shared" si="18"/>
        <v>0.5896455809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13" t="s">
        <v>223</v>
      </c>
      <c r="C21" s="263">
        <f>SUM('Custos variáveis'!G41:G48)</f>
        <v>17650</v>
      </c>
      <c r="D21" s="273">
        <f t="shared" si="11"/>
        <v>10.01998888</v>
      </c>
      <c r="E21" s="273">
        <f t="shared" si="12"/>
        <v>7.227253126</v>
      </c>
      <c r="F21" s="273"/>
      <c r="G21" s="265">
        <f t="shared" ref="G21:H21" si="19">IFERROR(D21,0)</f>
        <v>10.01998888</v>
      </c>
      <c r="H21" s="266">
        <f t="shared" si="19"/>
        <v>7.227253126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13" t="s">
        <v>372</v>
      </c>
      <c r="C22" s="263">
        <f>SUM('Custos variáveis'!G37:G39)</f>
        <v>7507.2</v>
      </c>
      <c r="D22" s="273">
        <f t="shared" si="11"/>
        <v>4.261873119</v>
      </c>
      <c r="E22" s="273">
        <f t="shared" si="12"/>
        <v>3.074018962</v>
      </c>
      <c r="F22" s="273"/>
      <c r="G22" s="265">
        <f t="shared" ref="G22:H22" si="20">IFERROR(D22,0)</f>
        <v>4.261873119</v>
      </c>
      <c r="H22" s="266">
        <f t="shared" si="20"/>
        <v>3.074018962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13" t="s">
        <v>192</v>
      </c>
      <c r="C23" s="263">
        <f>SUM(C14:C22)</f>
        <v>176147.9</v>
      </c>
      <c r="D23" s="280">
        <v>100.0</v>
      </c>
      <c r="E23" s="273"/>
      <c r="F23" s="273">
        <f>C23*D23/C24</f>
        <v>72.12835473</v>
      </c>
      <c r="G23" s="265">
        <f>SUM(G14:G22)</f>
        <v>100</v>
      </c>
      <c r="H23" s="266">
        <f>IFERROR(F23,0)</f>
        <v>72.12835473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81" t="s">
        <v>307</v>
      </c>
      <c r="C24" s="276">
        <f>SUM(C11,C23)</f>
        <v>244214.4988</v>
      </c>
      <c r="D24" s="282"/>
      <c r="E24" s="282">
        <v>100.0</v>
      </c>
      <c r="F24" s="282"/>
      <c r="G24" s="283"/>
      <c r="H24" s="28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H2"/>
    <mergeCell ref="B12:H12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0"/>
    <col customWidth="1" min="2" max="2" width="16.0"/>
    <col customWidth="1" min="3" max="3" width="15.25"/>
    <col customWidth="1" min="4" max="12" width="14.63"/>
    <col customWidth="1" min="13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353</v>
      </c>
      <c r="C2" s="31"/>
      <c r="D2" s="31"/>
      <c r="E2" s="31"/>
      <c r="F2" s="31"/>
      <c r="G2" s="31"/>
      <c r="H2" s="31"/>
      <c r="I2" s="31"/>
      <c r="J2" s="31"/>
      <c r="K2" s="31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67" t="s">
        <v>354</v>
      </c>
      <c r="C3" s="268" t="s">
        <v>356</v>
      </c>
      <c r="D3" s="268" t="s">
        <v>357</v>
      </c>
      <c r="E3" s="268" t="s">
        <v>358</v>
      </c>
      <c r="F3" s="268" t="s">
        <v>359</v>
      </c>
      <c r="G3" s="268" t="s">
        <v>360</v>
      </c>
      <c r="H3" s="268" t="s">
        <v>361</v>
      </c>
      <c r="I3" s="268" t="s">
        <v>362</v>
      </c>
      <c r="J3" s="268" t="s">
        <v>363</v>
      </c>
      <c r="K3" s="268" t="s">
        <v>364</v>
      </c>
      <c r="L3" s="269" t="s">
        <v>365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270">
        <f>-('Inventário'!F69)</f>
        <v>-61029.39</v>
      </c>
      <c r="C4" s="271">
        <f>Indicadores!$D$16</f>
        <v>82185.5012</v>
      </c>
      <c r="D4" s="271">
        <f>Indicadores!$D$16</f>
        <v>82185.5012</v>
      </c>
      <c r="E4" s="271">
        <f>Indicadores!$D$16</f>
        <v>82185.5012</v>
      </c>
      <c r="F4" s="271">
        <f>Indicadores!$D$16</f>
        <v>82185.5012</v>
      </c>
      <c r="G4" s="271">
        <f>Indicadores!$D$16</f>
        <v>82185.5012</v>
      </c>
      <c r="H4" s="271">
        <f>Indicadores!$D$16</f>
        <v>82185.5012</v>
      </c>
      <c r="I4" s="271">
        <f>Indicadores!$D$16</f>
        <v>82185.5012</v>
      </c>
      <c r="J4" s="271">
        <f>Indicadores!$D$16</f>
        <v>82185.5012</v>
      </c>
      <c r="K4" s="271">
        <f>Indicadores!$D$16</f>
        <v>82185.5012</v>
      </c>
      <c r="L4" s="274">
        <f>Indicadores!$D$16</f>
        <v>82185.5012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75">
        <f>B4</f>
        <v>-61029.39</v>
      </c>
      <c r="C5" s="276">
        <f t="shared" ref="C5:L5" si="1">B5+C4</f>
        <v>21156.1112</v>
      </c>
      <c r="D5" s="276">
        <f t="shared" si="1"/>
        <v>103341.6124</v>
      </c>
      <c r="E5" s="276">
        <f t="shared" si="1"/>
        <v>185527.1136</v>
      </c>
      <c r="F5" s="276">
        <f t="shared" si="1"/>
        <v>267712.6148</v>
      </c>
      <c r="G5" s="276">
        <f t="shared" si="1"/>
        <v>349898.116</v>
      </c>
      <c r="H5" s="276">
        <f t="shared" si="1"/>
        <v>432083.6172</v>
      </c>
      <c r="I5" s="276">
        <f t="shared" si="1"/>
        <v>514269.1184</v>
      </c>
      <c r="J5" s="276">
        <f t="shared" si="1"/>
        <v>596454.6196</v>
      </c>
      <c r="K5" s="276">
        <f t="shared" si="1"/>
        <v>678640.1208</v>
      </c>
      <c r="L5" s="277">
        <f t="shared" si="1"/>
        <v>760825.622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78" t="s">
        <v>371</v>
      </c>
      <c r="C8" s="5"/>
      <c r="D8" s="279" t="str">
        <f>IF($C$5&gt;0,"Entre o ciclo 0 e 1",IF($D$5&gt;0,"Entre os ciclos 1 e 2",IF($E$5&gt;0,"Entre os ciclos 2 e 3",IF($F$5&gt;0,"Entre os ciclos 3 e 4",IF($G$5&gt;0,"Entre os ciclos  4 e 5",IF($H$5&gt;0,"Entre os ciclos 5 e 6",IF($I$5&gt;0,"Entre os ciclos 6 e 7",IF($J$5&gt;0,"Entre os ciclos 7 e 8",IF($K$5&gt;0,"Entre os ciclos o 8 e 9",IF($L$5&gt;0,"Entre os ciclos 9 e 10","Maior que 10 ciclos"))))))))))</f>
        <v>Entre o ciclo 0 e 1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L2"/>
    <mergeCell ref="B8:C8"/>
    <mergeCell ref="D8:E8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0"/>
    <col customWidth="1" min="2" max="2" width="9.75"/>
    <col customWidth="1" min="3" max="3" width="17.25"/>
    <col customWidth="1" min="4" max="4" width="33.88"/>
    <col customWidth="1" min="5" max="5" width="9.63"/>
    <col customWidth="1" min="6" max="6" width="17.25"/>
    <col customWidth="1" min="7" max="26" width="8.0"/>
  </cols>
  <sheetData>
    <row r="1">
      <c r="A1" s="285">
        <f t="shared" ref="A1:B1" si="1">NOW()</f>
        <v>43801.52843</v>
      </c>
      <c r="B1" s="286">
        <f t="shared" si="1"/>
        <v>43801.52843</v>
      </c>
      <c r="C1" s="287" t="s">
        <v>373</v>
      </c>
      <c r="D1" s="285">
        <f t="shared" ref="D1:E1" si="2">NOW()</f>
        <v>43801.52843</v>
      </c>
      <c r="E1" s="288">
        <f t="shared" si="2"/>
        <v>43801.52843</v>
      </c>
      <c r="F1" s="289" t="s">
        <v>374</v>
      </c>
    </row>
    <row r="2">
      <c r="A2" s="290" t="s">
        <v>375</v>
      </c>
      <c r="B2" s="291" t="str">
        <f>'Dados gerais'!C3</f>
        <v>MLG Pescados</v>
      </c>
      <c r="C2" s="24"/>
      <c r="D2" s="290" t="str">
        <f t="shared" ref="D2:E2" si="3">A2</f>
        <v>Nome da fazenda</v>
      </c>
      <c r="E2" s="291" t="str">
        <f t="shared" si="3"/>
        <v>MLG Pescados</v>
      </c>
      <c r="F2" s="24"/>
    </row>
    <row r="3">
      <c r="A3" s="292" t="s">
        <v>12</v>
      </c>
      <c r="B3" s="293" t="str">
        <f>'Dados gerais'!C9</f>
        <v>Monofásico</v>
      </c>
      <c r="C3" s="178"/>
      <c r="D3" s="292" t="str">
        <f t="shared" ref="D3:E3" si="4">A3</f>
        <v>Tipo de cultivo</v>
      </c>
      <c r="E3" s="293" t="str">
        <f t="shared" si="4"/>
        <v>Monofásico</v>
      </c>
      <c r="F3" s="178"/>
    </row>
    <row r="4">
      <c r="A4" s="294" t="s">
        <v>376</v>
      </c>
      <c r="B4" s="31"/>
      <c r="C4" s="5"/>
      <c r="D4" s="294" t="s">
        <v>376</v>
      </c>
      <c r="E4" s="31"/>
      <c r="F4" s="5"/>
      <c r="G4" s="295"/>
      <c r="H4" s="295"/>
      <c r="I4" s="295"/>
    </row>
    <row r="5">
      <c r="A5" s="296" t="s">
        <v>377</v>
      </c>
      <c r="B5" s="21"/>
      <c r="C5" s="297"/>
      <c r="D5" s="296" t="s">
        <v>378</v>
      </c>
      <c r="E5" s="21"/>
      <c r="F5" s="297"/>
    </row>
    <row r="6">
      <c r="A6" s="273" t="s">
        <v>15</v>
      </c>
      <c r="B6" s="280" t="s">
        <v>16</v>
      </c>
      <c r="C6" s="298" t="s">
        <v>82</v>
      </c>
      <c r="D6" s="273" t="s">
        <v>15</v>
      </c>
      <c r="E6" s="280" t="s">
        <v>16</v>
      </c>
      <c r="F6" s="280" t="s">
        <v>82</v>
      </c>
    </row>
    <row r="7">
      <c r="A7" s="290" t="s">
        <v>379</v>
      </c>
      <c r="B7" s="36" t="s">
        <v>37</v>
      </c>
      <c r="C7" s="299">
        <f>IFERROR(IF('Parâmetros Recria'!D19&gt;0,SUM('Parâmetros Recria'!D19:M19),SUM('Parâmetros Monofásico'!D19:M19)),0)</f>
        <v>0.036</v>
      </c>
      <c r="D7" s="290" t="s">
        <v>380</v>
      </c>
      <c r="E7" s="36" t="s">
        <v>187</v>
      </c>
      <c r="F7" s="40">
        <f>Indicadores!D3</f>
        <v>68066.5988</v>
      </c>
    </row>
    <row r="8">
      <c r="A8" s="290" t="s">
        <v>64</v>
      </c>
      <c r="B8" s="36" t="s">
        <v>381</v>
      </c>
      <c r="C8" s="299">
        <f>IFERROR(IF('Custos fixos'!L6&gt;'Custos fixos'!M3,'Custos fixos'!L6,'Custos fixos'!M3),0)</f>
        <v>9.2</v>
      </c>
      <c r="D8" s="290" t="s">
        <v>306</v>
      </c>
      <c r="E8" s="36" t="s">
        <v>187</v>
      </c>
      <c r="F8" s="40">
        <f>Indicadores!D4</f>
        <v>176147.9</v>
      </c>
    </row>
    <row r="9">
      <c r="A9" s="290" t="s">
        <v>382</v>
      </c>
      <c r="B9" s="36" t="s">
        <v>55</v>
      </c>
      <c r="C9" s="299">
        <f>IFERROR(IF('Parâmetros Recria'!D8&gt;0,AVERAGEIF('Parâmetros Recria'!D8:M8,"&gt;0"),AVERAGEIF('Parâmetros Monofásico'!D8:M8,"&gt;0")),0)</f>
        <v>1.5</v>
      </c>
      <c r="D9" s="290" t="s">
        <v>307</v>
      </c>
      <c r="E9" s="36" t="s">
        <v>187</v>
      </c>
      <c r="F9" s="40">
        <f>Indicadores!D5</f>
        <v>244214.4988</v>
      </c>
    </row>
    <row r="10">
      <c r="A10" s="290" t="s">
        <v>383</v>
      </c>
      <c r="B10" s="36" t="s">
        <v>27</v>
      </c>
      <c r="C10" s="299">
        <f>IF('Parâmetros Recria'!D14&gt;'Parâmetros Monofásico'!D14,'Parâmetros Recria'!D14,'Parâmetros Monofásico'!D14)</f>
        <v>12</v>
      </c>
      <c r="D10" s="290" t="s">
        <v>311</v>
      </c>
      <c r="E10" s="36" t="s">
        <v>272</v>
      </c>
      <c r="F10" s="40">
        <f>Indicadores!D8</f>
        <v>4.48923711</v>
      </c>
    </row>
    <row r="11">
      <c r="A11" s="290" t="s">
        <v>384</v>
      </c>
      <c r="B11" s="36" t="s">
        <v>55</v>
      </c>
      <c r="C11" s="299">
        <f>'Parâmetros Monofásico'!E11</f>
        <v>800</v>
      </c>
      <c r="D11" s="290" t="s">
        <v>264</v>
      </c>
      <c r="E11" s="36" t="s">
        <v>187</v>
      </c>
      <c r="F11" s="40">
        <f>Indicadores!D12</f>
        <v>326400</v>
      </c>
    </row>
    <row r="12">
      <c r="A12" s="290" t="s">
        <v>385</v>
      </c>
      <c r="B12" s="36" t="s">
        <v>27</v>
      </c>
      <c r="C12" s="299">
        <f>C11*C16/1000</f>
        <v>43520</v>
      </c>
      <c r="D12" s="290" t="s">
        <v>325</v>
      </c>
      <c r="E12" s="36" t="s">
        <v>273</v>
      </c>
      <c r="F12" s="40">
        <f>Indicadores!D13</f>
        <v>906.6666667</v>
      </c>
    </row>
    <row r="13">
      <c r="A13" s="290" t="s">
        <v>66</v>
      </c>
      <c r="B13" s="36" t="s">
        <v>27</v>
      </c>
      <c r="C13" s="299">
        <f>IF('Parâmetros Recria'!D18&gt;0,#REF!-'Parâmetros Recria'!D14,'Parâmetros Monofásico'!D18)</f>
        <v>5428</v>
      </c>
      <c r="D13" s="290" t="s">
        <v>386</v>
      </c>
      <c r="E13" s="36" t="s">
        <v>187</v>
      </c>
      <c r="F13" s="40">
        <f>Indicadores!D16</f>
        <v>82185.5012</v>
      </c>
    </row>
    <row r="14">
      <c r="A14" s="290" t="s">
        <v>387</v>
      </c>
      <c r="B14" s="36" t="s">
        <v>20</v>
      </c>
      <c r="C14" s="300">
        <f>IFERROR(IF('Parâmetros Recria'!D16&gt;0,'Custos fixos'!L12,AVERAGEIF('Parâmetros Monofásico'!D16:M16,"&gt;0")),0)</f>
        <v>0.85</v>
      </c>
      <c r="D14" s="290" t="s">
        <v>388</v>
      </c>
      <c r="E14" s="36" t="s">
        <v>273</v>
      </c>
      <c r="F14" s="40">
        <f>Indicadores!D17</f>
        <v>2282930.589</v>
      </c>
    </row>
    <row r="15">
      <c r="A15" s="290" t="s">
        <v>389</v>
      </c>
      <c r="B15" s="36" t="s">
        <v>27</v>
      </c>
      <c r="C15" s="299">
        <f>'Custos variáveis'!E17</f>
        <v>60000</v>
      </c>
      <c r="D15" s="290" t="s">
        <v>390</v>
      </c>
      <c r="E15" s="36" t="s">
        <v>272</v>
      </c>
      <c r="F15" s="40">
        <f>Indicadores!D19</f>
        <v>1.51076289</v>
      </c>
    </row>
    <row r="16">
      <c r="A16" s="290" t="s">
        <v>391</v>
      </c>
      <c r="B16" s="36" t="s">
        <v>27</v>
      </c>
      <c r="C16" s="299">
        <f>Receitas!C15</f>
        <v>54400</v>
      </c>
      <c r="D16" s="290" t="s">
        <v>392</v>
      </c>
      <c r="E16" s="36" t="s">
        <v>320</v>
      </c>
      <c r="F16" s="40">
        <f>Indicadores!D20</f>
        <v>4.48923711</v>
      </c>
    </row>
    <row r="17">
      <c r="A17" s="290" t="s">
        <v>393</v>
      </c>
      <c r="B17" s="36" t="s">
        <v>70</v>
      </c>
      <c r="C17" s="299">
        <f>IFERROR(IF(B3="monofásico",Indicadores!H21,AVERAGEIF(Indicadores!H18:H20,"&gt;0")),0)</f>
        <v>151.1111111</v>
      </c>
      <c r="D17" s="290" t="s">
        <v>394</v>
      </c>
      <c r="E17" s="36" t="s">
        <v>27</v>
      </c>
      <c r="F17" s="40">
        <f>Indicadores!H16</f>
        <v>40702.41647</v>
      </c>
    </row>
    <row r="18">
      <c r="A18" s="290" t="s">
        <v>395</v>
      </c>
      <c r="B18" s="290"/>
      <c r="C18" s="299">
        <f>IFERROR(IF(B3="monofásico",Indicadores!H13,AVERAGEIF(Indicadores!H10:H12,"&gt;0")),0)</f>
        <v>1.105379514</v>
      </c>
      <c r="D18" s="290" t="s">
        <v>321</v>
      </c>
      <c r="E18" s="36" t="s">
        <v>20</v>
      </c>
      <c r="F18" s="301">
        <f>Indicadores!D11</f>
        <v>0.2517938149</v>
      </c>
    </row>
    <row r="19">
      <c r="A19" s="302" t="s">
        <v>396</v>
      </c>
      <c r="B19" s="103" t="s">
        <v>68</v>
      </c>
      <c r="C19" s="303">
        <f>IFERROR(IF('Parâmetros Recria'!D20&gt;0,'Custos fixos'!L24,AVERAGEIF('Parâmetros Monofásico'!D20:M20,"&gt;0")),0)</f>
        <v>222.2222222</v>
      </c>
      <c r="D19" s="292" t="s">
        <v>343</v>
      </c>
      <c r="E19" s="65" t="s">
        <v>20</v>
      </c>
      <c r="F19" s="304">
        <f>Indicadores!D22</f>
        <v>1.346654476</v>
      </c>
    </row>
    <row r="20" ht="15.0" customHeight="1">
      <c r="A20" s="305" t="s">
        <v>397</v>
      </c>
      <c r="B20" s="306"/>
      <c r="C20" s="307"/>
      <c r="D20" s="305" t="s">
        <v>397</v>
      </c>
      <c r="E20" s="306"/>
      <c r="F20" s="307"/>
    </row>
    <row r="21" ht="15.75" customHeight="1">
      <c r="A21" s="308"/>
      <c r="C21" s="309"/>
      <c r="D21" s="308"/>
      <c r="F21" s="309"/>
    </row>
    <row r="22" ht="15.75" customHeight="1">
      <c r="A22" s="310"/>
      <c r="B22" s="311"/>
      <c r="C22" s="312"/>
      <c r="D22" s="310"/>
      <c r="E22" s="311"/>
      <c r="F22" s="31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5:C5"/>
    <mergeCell ref="A20:C22"/>
    <mergeCell ref="D20:F22"/>
    <mergeCell ref="B2:C2"/>
    <mergeCell ref="E2:F2"/>
    <mergeCell ref="B3:C3"/>
    <mergeCell ref="E3:F3"/>
    <mergeCell ref="A4:C4"/>
    <mergeCell ref="D4:F4"/>
    <mergeCell ref="D5:F5"/>
  </mergeCells>
  <printOptions gridLines="1" horizontalCentered="1"/>
  <pageMargins bottom="0.7874015748031497" footer="0.0" header="0.0" left="0.5118110236220472" right="0.5118110236220472" top="0.787401574803149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7.88"/>
    <col customWidth="1" min="3" max="3" width="56.88"/>
    <col customWidth="1" min="4" max="4" width="8.13"/>
    <col customWidth="1" min="5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0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 t="s">
        <v>1</v>
      </c>
      <c r="C3" s="7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8" t="s">
        <v>3</v>
      </c>
      <c r="C4" s="7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 t="s">
        <v>5</v>
      </c>
      <c r="C5" s="9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 t="s">
        <v>7</v>
      </c>
      <c r="C6" s="9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 t="s">
        <v>9</v>
      </c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8" t="s">
        <v>10</v>
      </c>
      <c r="C8" s="9" t="s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1" t="s">
        <v>12</v>
      </c>
      <c r="C9" s="12" t="s">
        <v>13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C2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9.25"/>
    <col customWidth="1" min="3" max="3" width="10.13"/>
    <col customWidth="1" min="4" max="4" width="21.38"/>
    <col customWidth="1" min="5" max="5" width="16.38"/>
    <col customWidth="1" min="6" max="6" width="8.0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3" t="s">
        <v>14</v>
      </c>
      <c r="C3" s="14"/>
      <c r="D3" s="14"/>
      <c r="E3" s="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6" t="s">
        <v>15</v>
      </c>
      <c r="C4" s="17"/>
      <c r="D4" s="18" t="s">
        <v>16</v>
      </c>
      <c r="E4" s="19" t="s">
        <v>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0" t="s">
        <v>18</v>
      </c>
      <c r="C5" s="21"/>
      <c r="D5" s="21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3" t="s">
        <v>19</v>
      </c>
      <c r="C6" s="24"/>
      <c r="D6" s="25" t="s">
        <v>20</v>
      </c>
      <c r="E6" s="26">
        <v>0.0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7" t="s">
        <v>21</v>
      </c>
      <c r="C7" s="28"/>
      <c r="D7" s="29" t="s">
        <v>20</v>
      </c>
      <c r="E7" s="30">
        <v>0.0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4" t="s">
        <v>22</v>
      </c>
      <c r="C9" s="31"/>
      <c r="D9" s="31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2" t="s">
        <v>23</v>
      </c>
      <c r="C10" s="33" t="s">
        <v>16</v>
      </c>
      <c r="D10" s="33" t="s">
        <v>24</v>
      </c>
      <c r="E10" s="34" t="s">
        <v>25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26</v>
      </c>
      <c r="C11" s="36" t="s">
        <v>27</v>
      </c>
      <c r="D11" s="37" t="s">
        <v>28</v>
      </c>
      <c r="E11" s="38">
        <v>6.0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9" t="s">
        <v>26</v>
      </c>
      <c r="C12" s="36" t="s">
        <v>29</v>
      </c>
      <c r="D12" s="37" t="s">
        <v>30</v>
      </c>
      <c r="E12" s="38">
        <v>6.0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5" t="s">
        <v>31</v>
      </c>
      <c r="C13" s="36" t="s">
        <v>29</v>
      </c>
      <c r="D13" s="40"/>
      <c r="E13" s="4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2" t="s">
        <v>32</v>
      </c>
      <c r="C14" s="43" t="s">
        <v>29</v>
      </c>
      <c r="D14" s="44"/>
      <c r="E14" s="4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3:E3"/>
    <mergeCell ref="B4:C4"/>
    <mergeCell ref="B5:E5"/>
    <mergeCell ref="B6:C6"/>
    <mergeCell ref="B7:C7"/>
    <mergeCell ref="B9:E9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38"/>
    <col customWidth="1" min="3" max="3" width="10.13"/>
    <col customWidth="1" min="4" max="13" width="9.0"/>
    <col customWidth="1" min="14" max="17" width="8.0"/>
    <col customWidth="1" hidden="1" min="18" max="19" width="7.63"/>
    <col customWidth="1" min="20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33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5"/>
      <c r="N2" s="1"/>
      <c r="O2" s="1"/>
      <c r="P2" s="1"/>
      <c r="Q2" s="1"/>
      <c r="R2" s="46" t="s">
        <v>34</v>
      </c>
      <c r="S2" s="47"/>
      <c r="T2" s="1"/>
      <c r="U2" s="1"/>
      <c r="V2" s="1"/>
      <c r="W2" s="1"/>
      <c r="X2" s="1"/>
      <c r="Y2" s="1"/>
      <c r="Z2" s="1"/>
    </row>
    <row r="3">
      <c r="A3" s="1"/>
      <c r="B3" s="48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5"/>
      <c r="N3" s="1"/>
      <c r="O3" s="1"/>
      <c r="P3" s="1"/>
      <c r="Q3" s="1"/>
      <c r="R3" s="49" t="s">
        <v>36</v>
      </c>
      <c r="S3" s="49" t="s">
        <v>37</v>
      </c>
      <c r="T3" s="1"/>
      <c r="U3" s="1"/>
      <c r="V3" s="1"/>
      <c r="W3" s="1"/>
      <c r="X3" s="1"/>
      <c r="Y3" s="1"/>
      <c r="Z3" s="1"/>
    </row>
    <row r="4">
      <c r="A4" s="1"/>
      <c r="B4" s="50" t="s">
        <v>15</v>
      </c>
      <c r="C4" s="18" t="s">
        <v>16</v>
      </c>
      <c r="D4" s="18" t="s">
        <v>38</v>
      </c>
      <c r="E4" s="18" t="s">
        <v>39</v>
      </c>
      <c r="F4" s="18" t="s">
        <v>40</v>
      </c>
      <c r="G4" s="18" t="s">
        <v>41</v>
      </c>
      <c r="H4" s="18" t="s">
        <v>42</v>
      </c>
      <c r="I4" s="18" t="s">
        <v>43</v>
      </c>
      <c r="J4" s="18" t="s">
        <v>44</v>
      </c>
      <c r="K4" s="18" t="s">
        <v>45</v>
      </c>
      <c r="L4" s="18" t="s">
        <v>46</v>
      </c>
      <c r="M4" s="19" t="s">
        <v>47</v>
      </c>
      <c r="N4" s="1"/>
      <c r="O4" s="1"/>
      <c r="P4" s="1"/>
      <c r="Q4" s="1"/>
      <c r="R4" s="51">
        <f>SUM(D5:M5)</f>
        <v>0</v>
      </c>
      <c r="S4" s="49">
        <f>R4/10000</f>
        <v>0</v>
      </c>
      <c r="T4" s="1"/>
      <c r="U4" s="1"/>
      <c r="V4" s="1"/>
      <c r="W4" s="1"/>
      <c r="X4" s="1"/>
      <c r="Y4" s="1"/>
      <c r="Z4" s="1"/>
    </row>
    <row r="5">
      <c r="A5" s="1"/>
      <c r="B5" s="35" t="s">
        <v>48</v>
      </c>
      <c r="C5" s="36" t="s">
        <v>49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4" t="s">
        <v>50</v>
      </c>
      <c r="C6" s="55" t="s">
        <v>51</v>
      </c>
      <c r="D6" s="56"/>
      <c r="E6" s="56"/>
      <c r="F6" s="56"/>
      <c r="G6" s="56"/>
      <c r="H6" s="56"/>
      <c r="I6" s="56"/>
      <c r="J6" s="56"/>
      <c r="K6" s="56"/>
      <c r="L6" s="56"/>
      <c r="M6" s="5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5" t="s">
        <v>52</v>
      </c>
      <c r="C7" s="36" t="s">
        <v>53</v>
      </c>
      <c r="D7" s="58"/>
      <c r="E7" s="58"/>
      <c r="F7" s="58"/>
      <c r="G7" s="58"/>
      <c r="H7" s="58"/>
      <c r="I7" s="58"/>
      <c r="J7" s="58"/>
      <c r="K7" s="58"/>
      <c r="L7" s="58"/>
      <c r="M7" s="5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35" t="s">
        <v>54</v>
      </c>
      <c r="C8" s="36" t="s">
        <v>55</v>
      </c>
      <c r="D8" s="60"/>
      <c r="E8" s="60"/>
      <c r="F8" s="60"/>
      <c r="G8" s="60"/>
      <c r="H8" s="60"/>
      <c r="I8" s="60"/>
      <c r="J8" s="60"/>
      <c r="K8" s="60"/>
      <c r="L8" s="60"/>
      <c r="M8" s="6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" t="s">
        <v>56</v>
      </c>
      <c r="C9" s="36" t="s">
        <v>51</v>
      </c>
      <c r="D9" s="62"/>
      <c r="E9" s="62"/>
      <c r="F9" s="62"/>
      <c r="G9" s="62"/>
      <c r="H9" s="62"/>
      <c r="I9" s="62"/>
      <c r="J9" s="62"/>
      <c r="K9" s="62"/>
      <c r="L9" s="62"/>
      <c r="M9" s="6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" t="s">
        <v>57</v>
      </c>
      <c r="C10" s="36" t="s">
        <v>53</v>
      </c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58</v>
      </c>
      <c r="C11" s="36" t="s">
        <v>55</v>
      </c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64" t="s">
        <v>59</v>
      </c>
      <c r="C12" s="65" t="s">
        <v>27</v>
      </c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8" t="s">
        <v>60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54" t="s">
        <v>61</v>
      </c>
      <c r="C14" s="55" t="s">
        <v>27</v>
      </c>
      <c r="D14" s="68">
        <f t="shared" ref="D14:M14" si="1">D7*(D8/1000)</f>
        <v>0</v>
      </c>
      <c r="E14" s="68">
        <f t="shared" si="1"/>
        <v>0</v>
      </c>
      <c r="F14" s="68">
        <f t="shared" si="1"/>
        <v>0</v>
      </c>
      <c r="G14" s="68">
        <f t="shared" si="1"/>
        <v>0</v>
      </c>
      <c r="H14" s="68">
        <f t="shared" si="1"/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  <c r="L14" s="68">
        <f t="shared" si="1"/>
        <v>0</v>
      </c>
      <c r="M14" s="69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" t="s">
        <v>62</v>
      </c>
      <c r="C15" s="36" t="s">
        <v>27</v>
      </c>
      <c r="D15" s="70">
        <f t="shared" ref="D15:M15" si="2">D10*(D11/1000)</f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1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5" t="s">
        <v>63</v>
      </c>
      <c r="C16" s="36" t="s">
        <v>20</v>
      </c>
      <c r="D16" s="72">
        <f t="shared" ref="D16:M16" si="3">IFERROR((D10*100/D7)/100,0)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3">
        <f t="shared" si="3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 t="s">
        <v>64</v>
      </c>
      <c r="C17" s="36" t="s">
        <v>65</v>
      </c>
      <c r="D17" s="74">
        <f t="shared" ref="D17:M17" si="4">D9-D6</f>
        <v>0</v>
      </c>
      <c r="E17" s="74">
        <f t="shared" si="4"/>
        <v>0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0</v>
      </c>
      <c r="J17" s="74">
        <f t="shared" si="4"/>
        <v>0</v>
      </c>
      <c r="K17" s="74">
        <f t="shared" si="4"/>
        <v>0</v>
      </c>
      <c r="L17" s="74">
        <f t="shared" si="4"/>
        <v>0</v>
      </c>
      <c r="M17" s="75">
        <f t="shared" si="4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66</v>
      </c>
      <c r="C18" s="36" t="s">
        <v>27</v>
      </c>
      <c r="D18" s="70">
        <f t="shared" ref="D18:M18" si="5">D15-D14</f>
        <v>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1">
        <f t="shared" si="5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5" t="s">
        <v>48</v>
      </c>
      <c r="C19" s="36" t="s">
        <v>37</v>
      </c>
      <c r="D19" s="70">
        <f t="shared" ref="D19:M19" si="6">D5/10000</f>
        <v>0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1">
        <f t="shared" si="6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5" t="s">
        <v>67</v>
      </c>
      <c r="C20" s="36" t="s">
        <v>68</v>
      </c>
      <c r="D20" s="76">
        <f t="shared" ref="D20:M20" si="7">IFERROR(D7/D5,0)</f>
        <v>0</v>
      </c>
      <c r="E20" s="76">
        <f t="shared" si="7"/>
        <v>0</v>
      </c>
      <c r="F20" s="76">
        <f t="shared" si="7"/>
        <v>0</v>
      </c>
      <c r="G20" s="76">
        <f t="shared" si="7"/>
        <v>0</v>
      </c>
      <c r="H20" s="76">
        <f t="shared" si="7"/>
        <v>0</v>
      </c>
      <c r="I20" s="76">
        <f t="shared" si="7"/>
        <v>0</v>
      </c>
      <c r="J20" s="76">
        <f t="shared" si="7"/>
        <v>0</v>
      </c>
      <c r="K20" s="76">
        <f t="shared" si="7"/>
        <v>0</v>
      </c>
      <c r="L20" s="76">
        <f t="shared" si="7"/>
        <v>0</v>
      </c>
      <c r="M20" s="77">
        <f t="shared" si="7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5" t="s">
        <v>69</v>
      </c>
      <c r="C21" s="36" t="s">
        <v>70</v>
      </c>
      <c r="D21" s="70">
        <f t="shared" ref="D21:M21" si="8">IFERROR(D15/D5,0)</f>
        <v>0</v>
      </c>
      <c r="E21" s="70">
        <f t="shared" si="8"/>
        <v>0</v>
      </c>
      <c r="F21" s="70">
        <f t="shared" si="8"/>
        <v>0</v>
      </c>
      <c r="G21" s="70">
        <f t="shared" si="8"/>
        <v>0</v>
      </c>
      <c r="H21" s="70">
        <f t="shared" si="8"/>
        <v>0</v>
      </c>
      <c r="I21" s="70">
        <f t="shared" si="8"/>
        <v>0</v>
      </c>
      <c r="J21" s="70">
        <f t="shared" si="8"/>
        <v>0</v>
      </c>
      <c r="K21" s="70">
        <f t="shared" si="8"/>
        <v>0</v>
      </c>
      <c r="L21" s="70">
        <f t="shared" si="8"/>
        <v>0</v>
      </c>
      <c r="M21" s="71">
        <f t="shared" si="8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5" t="s">
        <v>71</v>
      </c>
      <c r="C22" s="36" t="s">
        <v>72</v>
      </c>
      <c r="D22" s="70">
        <f t="shared" ref="D22:M22" si="9">IFERROR(D15/D19,0)</f>
        <v>0</v>
      </c>
      <c r="E22" s="70">
        <f t="shared" si="9"/>
        <v>0</v>
      </c>
      <c r="F22" s="70">
        <f t="shared" si="9"/>
        <v>0</v>
      </c>
      <c r="G22" s="70">
        <f t="shared" si="9"/>
        <v>0</v>
      </c>
      <c r="H22" s="70">
        <f t="shared" si="9"/>
        <v>0</v>
      </c>
      <c r="I22" s="70">
        <f t="shared" si="9"/>
        <v>0</v>
      </c>
      <c r="J22" s="70">
        <f t="shared" si="9"/>
        <v>0</v>
      </c>
      <c r="K22" s="70">
        <f t="shared" si="9"/>
        <v>0</v>
      </c>
      <c r="L22" s="70">
        <f t="shared" si="9"/>
        <v>0</v>
      </c>
      <c r="M22" s="71">
        <f t="shared" si="9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2" t="s">
        <v>73</v>
      </c>
      <c r="C23" s="78"/>
      <c r="D23" s="79">
        <f t="shared" ref="D23:M23" si="10">IFERROR(D12/D18,0)</f>
        <v>0</v>
      </c>
      <c r="E23" s="79">
        <f t="shared" si="10"/>
        <v>0</v>
      </c>
      <c r="F23" s="79">
        <f t="shared" si="10"/>
        <v>0</v>
      </c>
      <c r="G23" s="79">
        <f t="shared" si="10"/>
        <v>0</v>
      </c>
      <c r="H23" s="79">
        <f t="shared" si="10"/>
        <v>0</v>
      </c>
      <c r="I23" s="79">
        <f t="shared" si="10"/>
        <v>0</v>
      </c>
      <c r="J23" s="79">
        <f t="shared" si="10"/>
        <v>0</v>
      </c>
      <c r="K23" s="79">
        <f t="shared" si="10"/>
        <v>0</v>
      </c>
      <c r="L23" s="79">
        <f t="shared" si="10"/>
        <v>0</v>
      </c>
      <c r="M23" s="80">
        <f t="shared" si="1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M2"/>
    <mergeCell ref="R2:S2"/>
    <mergeCell ref="B3:M3"/>
    <mergeCell ref="B13:M13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38"/>
    <col customWidth="1" min="3" max="3" width="10.13"/>
    <col customWidth="1" min="4" max="13" width="9.0"/>
    <col customWidth="1" min="14" max="17" width="8.0"/>
    <col customWidth="1" hidden="1" min="18" max="19" width="7.63"/>
    <col customWidth="1" min="20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33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5"/>
      <c r="N2" s="1"/>
      <c r="O2" s="1"/>
      <c r="P2" s="1"/>
      <c r="Q2" s="1"/>
      <c r="R2" s="46" t="s">
        <v>34</v>
      </c>
      <c r="S2" s="47"/>
      <c r="T2" s="1"/>
      <c r="U2" s="1"/>
      <c r="V2" s="1"/>
      <c r="W2" s="1"/>
      <c r="X2" s="1"/>
      <c r="Y2" s="1"/>
      <c r="Z2" s="1"/>
    </row>
    <row r="3">
      <c r="A3" s="1"/>
      <c r="B3" s="48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5"/>
      <c r="N3" s="1"/>
      <c r="O3" s="1"/>
      <c r="P3" s="1"/>
      <c r="Q3" s="1"/>
      <c r="R3" s="49" t="s">
        <v>36</v>
      </c>
      <c r="S3" s="49" t="s">
        <v>37</v>
      </c>
      <c r="T3" s="1"/>
      <c r="U3" s="1"/>
      <c r="V3" s="1"/>
      <c r="W3" s="1"/>
      <c r="X3" s="1"/>
      <c r="Y3" s="1"/>
      <c r="Z3" s="1"/>
    </row>
    <row r="4">
      <c r="A4" s="1"/>
      <c r="B4" s="50" t="s">
        <v>15</v>
      </c>
      <c r="C4" s="18" t="s">
        <v>16</v>
      </c>
      <c r="D4" s="18" t="s">
        <v>38</v>
      </c>
      <c r="E4" s="18" t="s">
        <v>39</v>
      </c>
      <c r="F4" s="18" t="s">
        <v>40</v>
      </c>
      <c r="G4" s="18" t="s">
        <v>41</v>
      </c>
      <c r="H4" s="18" t="s">
        <v>42</v>
      </c>
      <c r="I4" s="18" t="s">
        <v>43</v>
      </c>
      <c r="J4" s="18" t="s">
        <v>44</v>
      </c>
      <c r="K4" s="18" t="s">
        <v>45</v>
      </c>
      <c r="L4" s="18" t="s">
        <v>46</v>
      </c>
      <c r="M4" s="19" t="s">
        <v>47</v>
      </c>
      <c r="N4" s="1"/>
      <c r="O4" s="1"/>
      <c r="P4" s="1"/>
      <c r="Q4" s="1"/>
      <c r="R4" s="51">
        <f>SUM(D5:M5)</f>
        <v>0</v>
      </c>
      <c r="S4" s="49">
        <f>R4/10000</f>
        <v>0</v>
      </c>
      <c r="T4" s="1"/>
      <c r="U4" s="1"/>
      <c r="V4" s="1"/>
      <c r="W4" s="1"/>
      <c r="X4" s="1"/>
      <c r="Y4" s="1"/>
      <c r="Z4" s="1"/>
    </row>
    <row r="5">
      <c r="A5" s="1"/>
      <c r="B5" s="35" t="s">
        <v>48</v>
      </c>
      <c r="C5" s="36" t="s">
        <v>49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4" t="s">
        <v>50</v>
      </c>
      <c r="C6" s="55" t="s">
        <v>74</v>
      </c>
      <c r="D6" s="56"/>
      <c r="E6" s="56"/>
      <c r="F6" s="56"/>
      <c r="G6" s="56"/>
      <c r="H6" s="56"/>
      <c r="I6" s="56"/>
      <c r="J6" s="56"/>
      <c r="K6" s="56"/>
      <c r="L6" s="56"/>
      <c r="M6" s="5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5" t="s">
        <v>52</v>
      </c>
      <c r="C7" s="36" t="s">
        <v>53</v>
      </c>
      <c r="D7" s="58"/>
      <c r="E7" s="58"/>
      <c r="F7" s="58"/>
      <c r="G7" s="58"/>
      <c r="H7" s="58"/>
      <c r="I7" s="58"/>
      <c r="J7" s="58"/>
      <c r="K7" s="58"/>
      <c r="L7" s="58"/>
      <c r="M7" s="5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35" t="s">
        <v>54</v>
      </c>
      <c r="C8" s="36" t="s">
        <v>55</v>
      </c>
      <c r="D8" s="60"/>
      <c r="E8" s="60"/>
      <c r="F8" s="60"/>
      <c r="G8" s="60"/>
      <c r="H8" s="60"/>
      <c r="I8" s="60"/>
      <c r="J8" s="60"/>
      <c r="K8" s="60"/>
      <c r="L8" s="60"/>
      <c r="M8" s="6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" t="s">
        <v>56</v>
      </c>
      <c r="C9" s="36" t="s">
        <v>74</v>
      </c>
      <c r="D9" s="62"/>
      <c r="E9" s="62"/>
      <c r="F9" s="62"/>
      <c r="G9" s="62"/>
      <c r="H9" s="62"/>
      <c r="I9" s="62"/>
      <c r="J9" s="62"/>
      <c r="K9" s="62"/>
      <c r="L9" s="62"/>
      <c r="M9" s="6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" t="s">
        <v>57</v>
      </c>
      <c r="C10" s="36" t="s">
        <v>53</v>
      </c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58</v>
      </c>
      <c r="C11" s="36" t="s">
        <v>55</v>
      </c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64" t="s">
        <v>59</v>
      </c>
      <c r="C12" s="65" t="s">
        <v>27</v>
      </c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8" t="s">
        <v>60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54" t="s">
        <v>61</v>
      </c>
      <c r="C14" s="55" t="s">
        <v>27</v>
      </c>
      <c r="D14" s="68">
        <f t="shared" ref="D14:M14" si="1">D7*(D8/1000)</f>
        <v>0</v>
      </c>
      <c r="E14" s="68">
        <f t="shared" si="1"/>
        <v>0</v>
      </c>
      <c r="F14" s="68">
        <f t="shared" si="1"/>
        <v>0</v>
      </c>
      <c r="G14" s="68">
        <f t="shared" si="1"/>
        <v>0</v>
      </c>
      <c r="H14" s="68">
        <f t="shared" si="1"/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  <c r="L14" s="68">
        <f t="shared" si="1"/>
        <v>0</v>
      </c>
      <c r="M14" s="69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" t="s">
        <v>62</v>
      </c>
      <c r="C15" s="36" t="s">
        <v>27</v>
      </c>
      <c r="D15" s="70">
        <f t="shared" ref="D15:M15" si="2">D10*(D11/1000)</f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1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5" t="s">
        <v>63</v>
      </c>
      <c r="C16" s="36" t="s">
        <v>20</v>
      </c>
      <c r="D16" s="72">
        <f t="shared" ref="D16:M16" si="3">IFERROR((D10*100/D7)/100,0)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3">
        <f t="shared" si="3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 t="s">
        <v>64</v>
      </c>
      <c r="C17" s="36" t="s">
        <v>65</v>
      </c>
      <c r="D17" s="74">
        <f t="shared" ref="D17:M17" si="4">D9-D6</f>
        <v>0</v>
      </c>
      <c r="E17" s="74">
        <f t="shared" si="4"/>
        <v>0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0</v>
      </c>
      <c r="J17" s="74">
        <f t="shared" si="4"/>
        <v>0</v>
      </c>
      <c r="K17" s="74">
        <f t="shared" si="4"/>
        <v>0</v>
      </c>
      <c r="L17" s="74">
        <f t="shared" si="4"/>
        <v>0</v>
      </c>
      <c r="M17" s="75">
        <f t="shared" si="4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66</v>
      </c>
      <c r="C18" s="36" t="s">
        <v>27</v>
      </c>
      <c r="D18" s="70">
        <f t="shared" ref="D18:M18" si="5">D15-D14</f>
        <v>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1">
        <f t="shared" si="5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5" t="s">
        <v>48</v>
      </c>
      <c r="C19" s="36" t="s">
        <v>37</v>
      </c>
      <c r="D19" s="70">
        <f t="shared" ref="D19:M19" si="6">D5/10000</f>
        <v>0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1">
        <f t="shared" si="6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5" t="s">
        <v>67</v>
      </c>
      <c r="C20" s="36" t="s">
        <v>68</v>
      </c>
      <c r="D20" s="76">
        <f t="shared" ref="D20:M20" si="7">IFERROR(D7/D5,0)</f>
        <v>0</v>
      </c>
      <c r="E20" s="76">
        <f t="shared" si="7"/>
        <v>0</v>
      </c>
      <c r="F20" s="76">
        <f t="shared" si="7"/>
        <v>0</v>
      </c>
      <c r="G20" s="76">
        <f t="shared" si="7"/>
        <v>0</v>
      </c>
      <c r="H20" s="76">
        <f t="shared" si="7"/>
        <v>0</v>
      </c>
      <c r="I20" s="76">
        <f t="shared" si="7"/>
        <v>0</v>
      </c>
      <c r="J20" s="76">
        <f t="shared" si="7"/>
        <v>0</v>
      </c>
      <c r="K20" s="76">
        <f t="shared" si="7"/>
        <v>0</v>
      </c>
      <c r="L20" s="76">
        <f t="shared" si="7"/>
        <v>0</v>
      </c>
      <c r="M20" s="77">
        <f t="shared" si="7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5" t="s">
        <v>69</v>
      </c>
      <c r="C21" s="36" t="s">
        <v>70</v>
      </c>
      <c r="D21" s="70">
        <f t="shared" ref="D21:M21" si="8">IFERROR(D15/D5,0)</f>
        <v>0</v>
      </c>
      <c r="E21" s="70">
        <f t="shared" si="8"/>
        <v>0</v>
      </c>
      <c r="F21" s="70">
        <f t="shared" si="8"/>
        <v>0</v>
      </c>
      <c r="G21" s="70">
        <f t="shared" si="8"/>
        <v>0</v>
      </c>
      <c r="H21" s="70">
        <f t="shared" si="8"/>
        <v>0</v>
      </c>
      <c r="I21" s="70">
        <f t="shared" si="8"/>
        <v>0</v>
      </c>
      <c r="J21" s="70">
        <f t="shared" si="8"/>
        <v>0</v>
      </c>
      <c r="K21" s="70">
        <f t="shared" si="8"/>
        <v>0</v>
      </c>
      <c r="L21" s="70">
        <f t="shared" si="8"/>
        <v>0</v>
      </c>
      <c r="M21" s="71">
        <f t="shared" si="8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5" t="s">
        <v>71</v>
      </c>
      <c r="C22" s="36" t="s">
        <v>72</v>
      </c>
      <c r="D22" s="70">
        <f t="shared" ref="D22:M22" si="9">IFERROR(D15/D19,0)</f>
        <v>0</v>
      </c>
      <c r="E22" s="70">
        <f t="shared" si="9"/>
        <v>0</v>
      </c>
      <c r="F22" s="70">
        <f t="shared" si="9"/>
        <v>0</v>
      </c>
      <c r="G22" s="70">
        <f t="shared" si="9"/>
        <v>0</v>
      </c>
      <c r="H22" s="70">
        <f t="shared" si="9"/>
        <v>0</v>
      </c>
      <c r="I22" s="70">
        <f t="shared" si="9"/>
        <v>0</v>
      </c>
      <c r="J22" s="70">
        <f t="shared" si="9"/>
        <v>0</v>
      </c>
      <c r="K22" s="70">
        <f t="shared" si="9"/>
        <v>0</v>
      </c>
      <c r="L22" s="70">
        <f t="shared" si="9"/>
        <v>0</v>
      </c>
      <c r="M22" s="71">
        <f t="shared" si="9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2" t="s">
        <v>73</v>
      </c>
      <c r="C23" s="78"/>
      <c r="D23" s="79">
        <f t="shared" ref="D23:M23" si="10">IFERROR(D12/D18,0)</f>
        <v>0</v>
      </c>
      <c r="E23" s="79">
        <f t="shared" si="10"/>
        <v>0</v>
      </c>
      <c r="F23" s="79">
        <f t="shared" si="10"/>
        <v>0</v>
      </c>
      <c r="G23" s="79">
        <f t="shared" si="10"/>
        <v>0</v>
      </c>
      <c r="H23" s="79">
        <f t="shared" si="10"/>
        <v>0</v>
      </c>
      <c r="I23" s="79">
        <f t="shared" si="10"/>
        <v>0</v>
      </c>
      <c r="J23" s="79">
        <f t="shared" si="10"/>
        <v>0</v>
      </c>
      <c r="K23" s="79">
        <f t="shared" si="10"/>
        <v>0</v>
      </c>
      <c r="L23" s="79">
        <f t="shared" si="10"/>
        <v>0</v>
      </c>
      <c r="M23" s="80">
        <f t="shared" si="1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M2"/>
    <mergeCell ref="R2:S2"/>
    <mergeCell ref="B3:M3"/>
    <mergeCell ref="B13:M13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38"/>
    <col customWidth="1" min="3" max="3" width="10.13"/>
    <col customWidth="1" min="4" max="13" width="9.0"/>
    <col customWidth="1" min="14" max="17" width="8.0"/>
    <col customWidth="1" hidden="1" min="18" max="19" width="7.63"/>
    <col customWidth="1" min="20" max="26" width="8.0"/>
    <col customWidth="1" hidden="1" min="27" max="3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4" t="s">
        <v>33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5"/>
      <c r="N2" s="1"/>
      <c r="O2" s="1"/>
      <c r="P2" s="1"/>
      <c r="Q2" s="1"/>
      <c r="R2" s="46" t="s">
        <v>34</v>
      </c>
      <c r="S2" s="47"/>
      <c r="T2" s="1"/>
      <c r="U2" s="1"/>
      <c r="V2" s="1"/>
      <c r="W2" s="1"/>
      <c r="X2" s="1"/>
      <c r="Y2" s="1"/>
      <c r="Z2" s="1"/>
      <c r="AA2" s="1">
        <v>1.0</v>
      </c>
      <c r="AB2" s="1">
        <v>2.0</v>
      </c>
      <c r="AC2" s="1">
        <v>3.0</v>
      </c>
      <c r="AD2" s="1">
        <v>4.0</v>
      </c>
      <c r="AE2" s="1">
        <v>5.0</v>
      </c>
      <c r="AF2" s="1">
        <v>6.0</v>
      </c>
      <c r="AG2" s="1">
        <v>7.0</v>
      </c>
      <c r="AH2" s="1">
        <v>8.0</v>
      </c>
      <c r="AI2" s="1">
        <v>9.0</v>
      </c>
      <c r="AJ2" s="1">
        <v>10.0</v>
      </c>
    </row>
    <row r="3">
      <c r="A3" s="1"/>
      <c r="B3" s="48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5"/>
      <c r="N3" s="1"/>
      <c r="O3" s="1"/>
      <c r="P3" s="1"/>
      <c r="Q3" s="1"/>
      <c r="R3" s="49" t="s">
        <v>36</v>
      </c>
      <c r="S3" s="49" t="s">
        <v>37</v>
      </c>
      <c r="T3" s="1"/>
      <c r="U3" s="1"/>
      <c r="V3" s="1"/>
      <c r="W3" s="1"/>
      <c r="X3" s="1"/>
      <c r="Y3" s="1"/>
      <c r="Z3" s="1"/>
      <c r="AA3" s="81">
        <f>SUM('Parâmetros Recria'!D5,'Parâmetros Engorda'!D5,'Parâmetros Terminação'!D5)</f>
        <v>0</v>
      </c>
      <c r="AB3" s="81">
        <f>SUM('Parâmetros Recria'!E5,'Parâmetros Engorda'!E5,'Parâmetros Terminação'!E5)</f>
        <v>0</v>
      </c>
      <c r="AC3" s="81">
        <f>SUM('Parâmetros Recria'!F5,'Parâmetros Engorda'!F5,'Parâmetros Terminação'!F5)</f>
        <v>0</v>
      </c>
      <c r="AD3" s="81">
        <f>SUM('Parâmetros Recria'!G5,'Parâmetros Engorda'!G5,'Parâmetros Terminação'!G5)</f>
        <v>0</v>
      </c>
      <c r="AE3" s="81">
        <f>SUM('Parâmetros Recria'!H5,'Parâmetros Engorda'!H5,'Parâmetros Terminação'!H5)</f>
        <v>0</v>
      </c>
      <c r="AF3" s="81">
        <f>SUM('Parâmetros Recria'!I5,'Parâmetros Engorda'!I5,'Parâmetros Terminação'!I5)</f>
        <v>0</v>
      </c>
      <c r="AG3" s="81">
        <f>SUM('Parâmetros Recria'!J5,'Parâmetros Engorda'!J5,'Parâmetros Terminação'!J5)</f>
        <v>0</v>
      </c>
      <c r="AH3" s="81">
        <f>SUM('Parâmetros Recria'!K5,'Parâmetros Engorda'!K5,'Parâmetros Terminação'!K5)</f>
        <v>0</v>
      </c>
      <c r="AI3" s="81">
        <f>SUM('Parâmetros Recria'!L5,'Parâmetros Engorda'!L5,'Parâmetros Terminação'!L5)</f>
        <v>0</v>
      </c>
      <c r="AJ3" s="81">
        <f>SUM('Parâmetros Recria'!M5,'Parâmetros Engorda'!M5,'Parâmetros Terminação'!M5)</f>
        <v>0</v>
      </c>
    </row>
    <row r="4">
      <c r="A4" s="1"/>
      <c r="B4" s="50" t="s">
        <v>15</v>
      </c>
      <c r="C4" s="18" t="s">
        <v>16</v>
      </c>
      <c r="D4" s="18" t="s">
        <v>38</v>
      </c>
      <c r="E4" s="18" t="s">
        <v>39</v>
      </c>
      <c r="F4" s="18" t="s">
        <v>40</v>
      </c>
      <c r="G4" s="18" t="s">
        <v>41</v>
      </c>
      <c r="H4" s="18" t="s">
        <v>42</v>
      </c>
      <c r="I4" s="18" t="s">
        <v>43</v>
      </c>
      <c r="J4" s="18" t="s">
        <v>44</v>
      </c>
      <c r="K4" s="18" t="s">
        <v>45</v>
      </c>
      <c r="L4" s="18" t="s">
        <v>46</v>
      </c>
      <c r="M4" s="19" t="s">
        <v>47</v>
      </c>
      <c r="N4" s="1"/>
      <c r="O4" s="1"/>
      <c r="P4" s="1"/>
      <c r="Q4" s="1"/>
      <c r="R4" s="51">
        <f>SUM(D5:M5)</f>
        <v>0</v>
      </c>
      <c r="S4" s="49">
        <f>R4/10000</f>
        <v>0</v>
      </c>
      <c r="T4" s="1"/>
      <c r="U4" s="1"/>
      <c r="V4" s="1"/>
      <c r="W4" s="1"/>
      <c r="X4" s="1"/>
      <c r="Y4" s="1"/>
      <c r="Z4" s="1"/>
      <c r="AA4" s="1">
        <f t="shared" ref="AA4:AJ4" si="1">AA3/10000</f>
        <v>0</v>
      </c>
      <c r="AB4" s="1">
        <f t="shared" si="1"/>
        <v>0</v>
      </c>
      <c r="AC4" s="1">
        <f t="shared" si="1"/>
        <v>0</v>
      </c>
      <c r="AD4" s="1">
        <f t="shared" si="1"/>
        <v>0</v>
      </c>
      <c r="AE4" s="1">
        <f t="shared" si="1"/>
        <v>0</v>
      </c>
      <c r="AF4" s="1">
        <f t="shared" si="1"/>
        <v>0</v>
      </c>
      <c r="AG4" s="1">
        <f t="shared" si="1"/>
        <v>0</v>
      </c>
      <c r="AH4" s="1">
        <f t="shared" si="1"/>
        <v>0</v>
      </c>
      <c r="AI4" s="1">
        <f t="shared" si="1"/>
        <v>0</v>
      </c>
      <c r="AJ4" s="1">
        <f t="shared" si="1"/>
        <v>0</v>
      </c>
    </row>
    <row r="5">
      <c r="A5" s="1"/>
      <c r="B5" s="35" t="s">
        <v>48</v>
      </c>
      <c r="C5" s="36" t="s">
        <v>49</v>
      </c>
      <c r="D5" s="52"/>
      <c r="E5" s="52"/>
      <c r="F5" s="52"/>
      <c r="G5" s="52"/>
      <c r="H5" s="52"/>
      <c r="I5" s="52"/>
      <c r="J5" s="52"/>
      <c r="K5" s="52"/>
      <c r="L5" s="52"/>
      <c r="M5" s="5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54" t="s">
        <v>50</v>
      </c>
      <c r="C6" s="55" t="s">
        <v>74</v>
      </c>
      <c r="D6" s="56"/>
      <c r="E6" s="56"/>
      <c r="F6" s="56"/>
      <c r="G6" s="56"/>
      <c r="H6" s="56"/>
      <c r="I6" s="56"/>
      <c r="J6" s="56"/>
      <c r="K6" s="56"/>
      <c r="L6" s="56"/>
      <c r="M6" s="5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35" t="s">
        <v>52</v>
      </c>
      <c r="C7" s="36" t="s">
        <v>53</v>
      </c>
      <c r="D7" s="58"/>
      <c r="E7" s="58"/>
      <c r="F7" s="58"/>
      <c r="G7" s="58"/>
      <c r="H7" s="58"/>
      <c r="I7" s="58"/>
      <c r="J7" s="58"/>
      <c r="K7" s="58"/>
      <c r="L7" s="58"/>
      <c r="M7" s="5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>
      <c r="A8" s="1"/>
      <c r="B8" s="35" t="s">
        <v>54</v>
      </c>
      <c r="C8" s="36" t="s">
        <v>55</v>
      </c>
      <c r="D8" s="60"/>
      <c r="E8" s="60"/>
      <c r="F8" s="60"/>
      <c r="G8" s="60"/>
      <c r="H8" s="60"/>
      <c r="I8" s="60"/>
      <c r="J8" s="60"/>
      <c r="K8" s="60"/>
      <c r="L8" s="60"/>
      <c r="M8" s="6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>
      <c r="A9" s="1"/>
      <c r="B9" s="35" t="s">
        <v>56</v>
      </c>
      <c r="C9" s="36" t="s">
        <v>74</v>
      </c>
      <c r="D9" s="62"/>
      <c r="E9" s="62"/>
      <c r="F9" s="62"/>
      <c r="G9" s="62"/>
      <c r="H9" s="62"/>
      <c r="I9" s="62"/>
      <c r="J9" s="62"/>
      <c r="K9" s="62"/>
      <c r="L9" s="62"/>
      <c r="M9" s="6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>
      <c r="A10" s="1"/>
      <c r="B10" s="35" t="s">
        <v>57</v>
      </c>
      <c r="C10" s="36" t="s">
        <v>53</v>
      </c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>
      <c r="A11" s="1"/>
      <c r="B11" s="35" t="s">
        <v>58</v>
      </c>
      <c r="C11" s="36" t="s">
        <v>55</v>
      </c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>
      <c r="A12" s="1"/>
      <c r="B12" s="64" t="s">
        <v>59</v>
      </c>
      <c r="C12" s="65" t="s">
        <v>27</v>
      </c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>
      <c r="A13" s="1"/>
      <c r="B13" s="48" t="s">
        <v>60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>
      <c r="A14" s="1"/>
      <c r="B14" s="54" t="s">
        <v>61</v>
      </c>
      <c r="C14" s="55" t="s">
        <v>27</v>
      </c>
      <c r="D14" s="68">
        <f t="shared" ref="D14:M14" si="2">D7*(D8/1000)</f>
        <v>0</v>
      </c>
      <c r="E14" s="68">
        <f t="shared" si="2"/>
        <v>0</v>
      </c>
      <c r="F14" s="68">
        <f t="shared" si="2"/>
        <v>0</v>
      </c>
      <c r="G14" s="68">
        <f t="shared" si="2"/>
        <v>0</v>
      </c>
      <c r="H14" s="68">
        <f t="shared" si="2"/>
        <v>0</v>
      </c>
      <c r="I14" s="68">
        <f t="shared" si="2"/>
        <v>0</v>
      </c>
      <c r="J14" s="68">
        <f t="shared" si="2"/>
        <v>0</v>
      </c>
      <c r="K14" s="68">
        <f t="shared" si="2"/>
        <v>0</v>
      </c>
      <c r="L14" s="68">
        <f t="shared" si="2"/>
        <v>0</v>
      </c>
      <c r="M14" s="69">
        <f t="shared" si="2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>
      <c r="A15" s="1"/>
      <c r="B15" s="35" t="s">
        <v>62</v>
      </c>
      <c r="C15" s="36" t="s">
        <v>27</v>
      </c>
      <c r="D15" s="70">
        <f t="shared" ref="D15:M15" si="3">D10*(D11/1000)</f>
        <v>0</v>
      </c>
      <c r="E15" s="70">
        <f t="shared" si="3"/>
        <v>0</v>
      </c>
      <c r="F15" s="70">
        <f t="shared" si="3"/>
        <v>0</v>
      </c>
      <c r="G15" s="70">
        <f t="shared" si="3"/>
        <v>0</v>
      </c>
      <c r="H15" s="70">
        <f t="shared" si="3"/>
        <v>0</v>
      </c>
      <c r="I15" s="70">
        <f t="shared" si="3"/>
        <v>0</v>
      </c>
      <c r="J15" s="70">
        <f t="shared" si="3"/>
        <v>0</v>
      </c>
      <c r="K15" s="70">
        <f t="shared" si="3"/>
        <v>0</v>
      </c>
      <c r="L15" s="70">
        <f t="shared" si="3"/>
        <v>0</v>
      </c>
      <c r="M15" s="71">
        <f t="shared" si="3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>
      <c r="A16" s="1"/>
      <c r="B16" s="35" t="s">
        <v>63</v>
      </c>
      <c r="C16" s="36" t="s">
        <v>20</v>
      </c>
      <c r="D16" s="72">
        <f t="shared" ref="D16:M16" si="4">IFERROR((D10*100/D7)/100,0)</f>
        <v>0</v>
      </c>
      <c r="E16" s="72">
        <f t="shared" si="4"/>
        <v>0</v>
      </c>
      <c r="F16" s="72">
        <f t="shared" si="4"/>
        <v>0</v>
      </c>
      <c r="G16" s="72">
        <f t="shared" si="4"/>
        <v>0</v>
      </c>
      <c r="H16" s="72">
        <f t="shared" si="4"/>
        <v>0</v>
      </c>
      <c r="I16" s="72">
        <f t="shared" si="4"/>
        <v>0</v>
      </c>
      <c r="J16" s="72">
        <f t="shared" si="4"/>
        <v>0</v>
      </c>
      <c r="K16" s="72">
        <f t="shared" si="4"/>
        <v>0</v>
      </c>
      <c r="L16" s="72">
        <f t="shared" si="4"/>
        <v>0</v>
      </c>
      <c r="M16" s="73">
        <f t="shared" si="4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>
      <c r="A17" s="1"/>
      <c r="B17" s="35" t="s">
        <v>64</v>
      </c>
      <c r="C17" s="36" t="s">
        <v>65</v>
      </c>
      <c r="D17" s="74">
        <f t="shared" ref="D17:M17" si="5">D9-D6</f>
        <v>0</v>
      </c>
      <c r="E17" s="74">
        <f t="shared" si="5"/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4">
        <f t="shared" si="5"/>
        <v>0</v>
      </c>
      <c r="L17" s="74">
        <f t="shared" si="5"/>
        <v>0</v>
      </c>
      <c r="M17" s="75">
        <f t="shared" si="5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>
      <c r="A18" s="1"/>
      <c r="B18" s="35" t="s">
        <v>66</v>
      </c>
      <c r="C18" s="36" t="s">
        <v>27</v>
      </c>
      <c r="D18" s="70">
        <f t="shared" ref="D18:M18" si="6">D15-D14</f>
        <v>0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1">
        <f t="shared" si="6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>
      <c r="A19" s="1"/>
      <c r="B19" s="35" t="s">
        <v>48</v>
      </c>
      <c r="C19" s="36" t="s">
        <v>37</v>
      </c>
      <c r="D19" s="70">
        <f t="shared" ref="D19:M19" si="7">D5/10000</f>
        <v>0</v>
      </c>
      <c r="E19" s="70">
        <f t="shared" si="7"/>
        <v>0</v>
      </c>
      <c r="F19" s="70">
        <f t="shared" si="7"/>
        <v>0</v>
      </c>
      <c r="G19" s="70">
        <f t="shared" si="7"/>
        <v>0</v>
      </c>
      <c r="H19" s="70">
        <f t="shared" si="7"/>
        <v>0</v>
      </c>
      <c r="I19" s="70">
        <f t="shared" si="7"/>
        <v>0</v>
      </c>
      <c r="J19" s="70">
        <f t="shared" si="7"/>
        <v>0</v>
      </c>
      <c r="K19" s="70">
        <f t="shared" si="7"/>
        <v>0</v>
      </c>
      <c r="L19" s="70">
        <f t="shared" si="7"/>
        <v>0</v>
      </c>
      <c r="M19" s="71">
        <f t="shared" si="7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>
      <c r="A20" s="1"/>
      <c r="B20" s="35" t="s">
        <v>67</v>
      </c>
      <c r="C20" s="36" t="s">
        <v>68</v>
      </c>
      <c r="D20" s="76">
        <f t="shared" ref="D20:M20" si="8">IFERROR(D7/D5,0)</f>
        <v>0</v>
      </c>
      <c r="E20" s="76">
        <f t="shared" si="8"/>
        <v>0</v>
      </c>
      <c r="F20" s="76">
        <f t="shared" si="8"/>
        <v>0</v>
      </c>
      <c r="G20" s="76">
        <f t="shared" si="8"/>
        <v>0</v>
      </c>
      <c r="H20" s="76">
        <f t="shared" si="8"/>
        <v>0</v>
      </c>
      <c r="I20" s="76">
        <f t="shared" si="8"/>
        <v>0</v>
      </c>
      <c r="J20" s="76">
        <f t="shared" si="8"/>
        <v>0</v>
      </c>
      <c r="K20" s="76">
        <f t="shared" si="8"/>
        <v>0</v>
      </c>
      <c r="L20" s="76">
        <f t="shared" si="8"/>
        <v>0</v>
      </c>
      <c r="M20" s="77">
        <f t="shared" si="8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ht="15.75" customHeight="1">
      <c r="A21" s="1"/>
      <c r="B21" s="35" t="s">
        <v>69</v>
      </c>
      <c r="C21" s="36" t="s">
        <v>70</v>
      </c>
      <c r="D21" s="70">
        <f t="shared" ref="D21:M21" si="9">IFERROR(D15/D5,0)</f>
        <v>0</v>
      </c>
      <c r="E21" s="70">
        <f t="shared" si="9"/>
        <v>0</v>
      </c>
      <c r="F21" s="70">
        <f t="shared" si="9"/>
        <v>0</v>
      </c>
      <c r="G21" s="70">
        <f t="shared" si="9"/>
        <v>0</v>
      </c>
      <c r="H21" s="70">
        <f t="shared" si="9"/>
        <v>0</v>
      </c>
      <c r="I21" s="70">
        <f t="shared" si="9"/>
        <v>0</v>
      </c>
      <c r="J21" s="70">
        <f t="shared" si="9"/>
        <v>0</v>
      </c>
      <c r="K21" s="70">
        <f t="shared" si="9"/>
        <v>0</v>
      </c>
      <c r="L21" s="70">
        <f t="shared" si="9"/>
        <v>0</v>
      </c>
      <c r="M21" s="71">
        <f t="shared" si="9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ht="15.75" customHeight="1">
      <c r="A22" s="1"/>
      <c r="B22" s="35" t="s">
        <v>71</v>
      </c>
      <c r="C22" s="36" t="s">
        <v>72</v>
      </c>
      <c r="D22" s="70">
        <f t="shared" ref="D22:M22" si="10">IFERROR(D15/D19,0)</f>
        <v>0</v>
      </c>
      <c r="E22" s="70">
        <f t="shared" si="10"/>
        <v>0</v>
      </c>
      <c r="F22" s="70">
        <f t="shared" si="10"/>
        <v>0</v>
      </c>
      <c r="G22" s="70">
        <f t="shared" si="10"/>
        <v>0</v>
      </c>
      <c r="H22" s="70">
        <f t="shared" si="10"/>
        <v>0</v>
      </c>
      <c r="I22" s="70">
        <f t="shared" si="10"/>
        <v>0</v>
      </c>
      <c r="J22" s="70">
        <f t="shared" si="10"/>
        <v>0</v>
      </c>
      <c r="K22" s="70">
        <f t="shared" si="10"/>
        <v>0</v>
      </c>
      <c r="L22" s="70">
        <f t="shared" si="10"/>
        <v>0</v>
      </c>
      <c r="M22" s="71">
        <f t="shared" si="10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ht="15.75" customHeight="1">
      <c r="A23" s="1"/>
      <c r="B23" s="42" t="s">
        <v>73</v>
      </c>
      <c r="C23" s="78"/>
      <c r="D23" s="79">
        <f t="shared" ref="D23:M23" si="11">IFERROR(D12/D18,0)</f>
        <v>0</v>
      </c>
      <c r="E23" s="79">
        <f t="shared" si="11"/>
        <v>0</v>
      </c>
      <c r="F23" s="79">
        <f t="shared" si="11"/>
        <v>0</v>
      </c>
      <c r="G23" s="79">
        <f t="shared" si="11"/>
        <v>0</v>
      </c>
      <c r="H23" s="79">
        <f t="shared" si="11"/>
        <v>0</v>
      </c>
      <c r="I23" s="79">
        <f t="shared" si="11"/>
        <v>0</v>
      </c>
      <c r="J23" s="79">
        <f t="shared" si="11"/>
        <v>0</v>
      </c>
      <c r="K23" s="79">
        <f t="shared" si="11"/>
        <v>0</v>
      </c>
      <c r="L23" s="79">
        <f t="shared" si="11"/>
        <v>0</v>
      </c>
      <c r="M23" s="80">
        <f t="shared" si="11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4">
    <mergeCell ref="B2:M2"/>
    <mergeCell ref="R2:S2"/>
    <mergeCell ref="B3:M3"/>
    <mergeCell ref="B13:M13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38"/>
    <col customWidth="1" min="3" max="3" width="10.13"/>
    <col customWidth="1" min="4" max="13" width="9.0"/>
    <col customWidth="1" min="14" max="18" width="8.0"/>
    <col customWidth="1" hidden="1" min="19" max="21" width="7.63"/>
    <col customWidth="1" min="22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75</v>
      </c>
      <c r="V1" s="1"/>
      <c r="W1" s="1"/>
      <c r="X1" s="1"/>
      <c r="Y1" s="1"/>
      <c r="Z1" s="1"/>
    </row>
    <row r="2">
      <c r="A2" s="1"/>
      <c r="B2" s="4" t="s">
        <v>76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5"/>
      <c r="N2" s="1"/>
      <c r="O2" s="1"/>
      <c r="P2" s="1"/>
      <c r="Q2" s="1"/>
      <c r="R2" s="1"/>
      <c r="S2" s="46" t="s">
        <v>34</v>
      </c>
      <c r="T2" s="47"/>
      <c r="U2" s="1"/>
      <c r="V2" s="1"/>
      <c r="W2" s="1"/>
      <c r="X2" s="1"/>
      <c r="Y2" s="1"/>
      <c r="Z2" s="1"/>
    </row>
    <row r="3">
      <c r="A3" s="1"/>
      <c r="B3" s="48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5"/>
      <c r="N3" s="1"/>
      <c r="O3" s="1"/>
      <c r="P3" s="1"/>
      <c r="Q3" s="1"/>
      <c r="R3" s="1"/>
      <c r="S3" s="49" t="s">
        <v>36</v>
      </c>
      <c r="T3" s="49" t="s">
        <v>37</v>
      </c>
      <c r="U3" s="1"/>
      <c r="V3" s="1"/>
      <c r="W3" s="1"/>
      <c r="X3" s="1"/>
      <c r="Y3" s="1"/>
      <c r="Z3" s="1"/>
    </row>
    <row r="4">
      <c r="A4" s="1"/>
      <c r="B4" s="50" t="s">
        <v>15</v>
      </c>
      <c r="C4" s="18" t="s">
        <v>16</v>
      </c>
      <c r="D4" s="18" t="s">
        <v>38</v>
      </c>
      <c r="E4" s="18" t="s">
        <v>39</v>
      </c>
      <c r="F4" s="18" t="s">
        <v>40</v>
      </c>
      <c r="G4" s="18" t="s">
        <v>41</v>
      </c>
      <c r="H4" s="18" t="s">
        <v>42</v>
      </c>
      <c r="I4" s="18" t="s">
        <v>43</v>
      </c>
      <c r="J4" s="18" t="s">
        <v>44</v>
      </c>
      <c r="K4" s="18" t="s">
        <v>45</v>
      </c>
      <c r="L4" s="18" t="s">
        <v>46</v>
      </c>
      <c r="M4" s="19" t="s">
        <v>47</v>
      </c>
      <c r="N4" s="1"/>
      <c r="O4" s="1"/>
      <c r="P4" s="1"/>
      <c r="Q4" s="1"/>
      <c r="R4" s="1"/>
      <c r="S4" s="51">
        <f>SUM(D5:M5)</f>
        <v>360</v>
      </c>
      <c r="T4" s="49">
        <f>S4/10000</f>
        <v>0.036</v>
      </c>
      <c r="U4" s="1"/>
      <c r="V4" s="1"/>
      <c r="W4" s="1"/>
      <c r="X4" s="1"/>
      <c r="Y4" s="1"/>
      <c r="Z4" s="1"/>
    </row>
    <row r="5">
      <c r="A5" s="1"/>
      <c r="B5" s="35" t="s">
        <v>48</v>
      </c>
      <c r="C5" s="36" t="s">
        <v>49</v>
      </c>
      <c r="D5" s="82">
        <v>36.0</v>
      </c>
      <c r="E5" s="82">
        <v>36.0</v>
      </c>
      <c r="F5" s="82">
        <v>36.0</v>
      </c>
      <c r="G5" s="82">
        <v>36.0</v>
      </c>
      <c r="H5" s="82">
        <v>36.0</v>
      </c>
      <c r="I5" s="82">
        <v>36.0</v>
      </c>
      <c r="J5" s="82">
        <v>36.0</v>
      </c>
      <c r="K5" s="82">
        <v>36.0</v>
      </c>
      <c r="L5" s="82">
        <v>36.0</v>
      </c>
      <c r="M5" s="83">
        <v>36.0</v>
      </c>
      <c r="N5" s="1"/>
      <c r="O5" s="1"/>
      <c r="P5" s="49"/>
      <c r="Q5" s="49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4" t="s">
        <v>50</v>
      </c>
      <c r="C6" s="84" t="s">
        <v>74</v>
      </c>
      <c r="D6" s="85">
        <v>43831.0</v>
      </c>
      <c r="E6" s="85">
        <v>43831.0</v>
      </c>
      <c r="F6" s="85">
        <v>43862.0</v>
      </c>
      <c r="G6" s="85">
        <v>43862.0</v>
      </c>
      <c r="H6" s="85">
        <v>43891.0</v>
      </c>
      <c r="I6" s="85">
        <v>43891.0</v>
      </c>
      <c r="J6" s="85">
        <v>43922.0</v>
      </c>
      <c r="K6" s="85">
        <v>43922.0</v>
      </c>
      <c r="L6" s="85">
        <v>43952.0</v>
      </c>
      <c r="M6" s="86">
        <v>43952.0</v>
      </c>
      <c r="N6" s="1"/>
      <c r="O6" s="1"/>
      <c r="P6" s="49"/>
      <c r="Q6" s="49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35" t="s">
        <v>52</v>
      </c>
      <c r="C7" s="36" t="s">
        <v>53</v>
      </c>
      <c r="D7" s="87">
        <v>8000.0</v>
      </c>
      <c r="E7" s="87">
        <v>8000.0</v>
      </c>
      <c r="F7" s="87">
        <v>8000.0</v>
      </c>
      <c r="G7" s="87">
        <v>8000.0</v>
      </c>
      <c r="H7" s="87">
        <v>8000.0</v>
      </c>
      <c r="I7" s="87">
        <v>8000.0</v>
      </c>
      <c r="J7" s="87">
        <v>8000.0</v>
      </c>
      <c r="K7" s="87">
        <v>8000.0</v>
      </c>
      <c r="L7" s="87">
        <v>8000.0</v>
      </c>
      <c r="M7" s="88">
        <v>8000.0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35" t="s">
        <v>54</v>
      </c>
      <c r="C8" s="36" t="s">
        <v>55</v>
      </c>
      <c r="D8" s="89">
        <v>1.5</v>
      </c>
      <c r="E8" s="89">
        <v>1.5</v>
      </c>
      <c r="F8" s="89">
        <v>1.5</v>
      </c>
      <c r="G8" s="89">
        <v>1.5</v>
      </c>
      <c r="H8" s="89">
        <v>1.5</v>
      </c>
      <c r="I8" s="89">
        <v>1.5</v>
      </c>
      <c r="J8" s="89">
        <v>1.5</v>
      </c>
      <c r="K8" s="89">
        <v>1.5</v>
      </c>
      <c r="L8" s="89">
        <v>1.5</v>
      </c>
      <c r="M8" s="90">
        <v>1.5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5" t="s">
        <v>77</v>
      </c>
      <c r="C9" s="36" t="s">
        <v>74</v>
      </c>
      <c r="D9" s="91">
        <v>44105.0</v>
      </c>
      <c r="E9" s="91">
        <v>44105.0</v>
      </c>
      <c r="F9" s="91">
        <v>44136.0</v>
      </c>
      <c r="G9" s="91">
        <v>44136.0</v>
      </c>
      <c r="H9" s="91">
        <v>44166.0</v>
      </c>
      <c r="I9" s="91">
        <v>44166.0</v>
      </c>
      <c r="J9" s="91">
        <v>44197.0</v>
      </c>
      <c r="K9" s="91">
        <v>44197.0</v>
      </c>
      <c r="L9" s="91">
        <v>44228.0</v>
      </c>
      <c r="M9" s="92">
        <v>44228.0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5" t="s">
        <v>78</v>
      </c>
      <c r="C10" s="36" t="s">
        <v>53</v>
      </c>
      <c r="D10" s="87">
        <v>6800.0</v>
      </c>
      <c r="E10" s="87">
        <v>6800.0</v>
      </c>
      <c r="F10" s="87">
        <v>6800.0</v>
      </c>
      <c r="G10" s="87">
        <v>6800.0</v>
      </c>
      <c r="H10" s="87">
        <v>6800.0</v>
      </c>
      <c r="I10" s="87">
        <v>6800.0</v>
      </c>
      <c r="J10" s="87">
        <v>6800.0</v>
      </c>
      <c r="K10" s="87">
        <v>6800.0</v>
      </c>
      <c r="L10" s="87">
        <v>6800.0</v>
      </c>
      <c r="M10" s="88">
        <v>6800.0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5" t="s">
        <v>58</v>
      </c>
      <c r="C11" s="36" t="s">
        <v>55</v>
      </c>
      <c r="D11" s="89">
        <v>800.0</v>
      </c>
      <c r="E11" s="89">
        <v>800.0</v>
      </c>
      <c r="F11" s="89">
        <v>800.0</v>
      </c>
      <c r="G11" s="89">
        <v>800.0</v>
      </c>
      <c r="H11" s="89">
        <v>800.0</v>
      </c>
      <c r="I11" s="89">
        <v>800.0</v>
      </c>
      <c r="J11" s="89">
        <v>800.0</v>
      </c>
      <c r="K11" s="89">
        <v>800.0</v>
      </c>
      <c r="L11" s="89">
        <v>800.0</v>
      </c>
      <c r="M11" s="90">
        <v>800.0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64" t="s">
        <v>59</v>
      </c>
      <c r="C12" s="65" t="s">
        <v>27</v>
      </c>
      <c r="D12" s="93">
        <v>6000.0</v>
      </c>
      <c r="E12" s="93">
        <v>6000.0</v>
      </c>
      <c r="F12" s="93">
        <v>6000.0</v>
      </c>
      <c r="G12" s="93">
        <v>6000.0</v>
      </c>
      <c r="H12" s="93">
        <v>6000.0</v>
      </c>
      <c r="I12" s="93">
        <v>6000.0</v>
      </c>
      <c r="J12" s="93">
        <v>6000.0</v>
      </c>
      <c r="K12" s="93">
        <v>6000.0</v>
      </c>
      <c r="L12" s="93">
        <v>6000.0</v>
      </c>
      <c r="M12" s="94">
        <v>6000.0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8" t="s">
        <v>60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"/>
      <c r="N13" s="1"/>
      <c r="O13" s="1"/>
      <c r="P13" s="1"/>
      <c r="Q13" s="1"/>
      <c r="R13" s="1"/>
      <c r="S13" s="1"/>
      <c r="T13" s="1"/>
      <c r="U13" s="1">
        <f>AVERAGE(D17:M17)/30</f>
        <v>9.16</v>
      </c>
      <c r="V13" s="1"/>
      <c r="W13" s="1"/>
      <c r="X13" s="1"/>
      <c r="Y13" s="1"/>
      <c r="Z13" s="1"/>
    </row>
    <row r="14">
      <c r="A14" s="1"/>
      <c r="B14" s="54" t="s">
        <v>61</v>
      </c>
      <c r="C14" s="55" t="s">
        <v>27</v>
      </c>
      <c r="D14" s="68">
        <f t="shared" ref="D14:M14" si="1">D7*(D8/1000)</f>
        <v>12</v>
      </c>
      <c r="E14" s="68">
        <f t="shared" si="1"/>
        <v>12</v>
      </c>
      <c r="F14" s="68">
        <f t="shared" si="1"/>
        <v>12</v>
      </c>
      <c r="G14" s="68">
        <f t="shared" si="1"/>
        <v>12</v>
      </c>
      <c r="H14" s="68">
        <f t="shared" si="1"/>
        <v>12</v>
      </c>
      <c r="I14" s="68">
        <f t="shared" si="1"/>
        <v>12</v>
      </c>
      <c r="J14" s="68">
        <f t="shared" si="1"/>
        <v>12</v>
      </c>
      <c r="K14" s="68">
        <f t="shared" si="1"/>
        <v>12</v>
      </c>
      <c r="L14" s="68">
        <f t="shared" si="1"/>
        <v>12</v>
      </c>
      <c r="M14" s="69">
        <f t="shared" si="1"/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5" t="s">
        <v>62</v>
      </c>
      <c r="C15" s="36" t="s">
        <v>27</v>
      </c>
      <c r="D15" s="70">
        <f t="shared" ref="D15:M15" si="2">D10*(D11/1000)</f>
        <v>5440</v>
      </c>
      <c r="E15" s="70">
        <f t="shared" si="2"/>
        <v>5440</v>
      </c>
      <c r="F15" s="70">
        <f t="shared" si="2"/>
        <v>5440</v>
      </c>
      <c r="G15" s="70">
        <f t="shared" si="2"/>
        <v>5440</v>
      </c>
      <c r="H15" s="70">
        <f t="shared" si="2"/>
        <v>5440</v>
      </c>
      <c r="I15" s="70">
        <f t="shared" si="2"/>
        <v>5440</v>
      </c>
      <c r="J15" s="70">
        <f t="shared" si="2"/>
        <v>5440</v>
      </c>
      <c r="K15" s="70">
        <f t="shared" si="2"/>
        <v>5440</v>
      </c>
      <c r="L15" s="70">
        <f t="shared" si="2"/>
        <v>5440</v>
      </c>
      <c r="M15" s="71">
        <f t="shared" si="2"/>
        <v>5440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5" t="s">
        <v>63</v>
      </c>
      <c r="C16" s="36" t="s">
        <v>20</v>
      </c>
      <c r="D16" s="72">
        <f t="shared" ref="D16:M16" si="3">IFERROR((D10*100/D7)/100,0)</f>
        <v>0.85</v>
      </c>
      <c r="E16" s="72">
        <f t="shared" si="3"/>
        <v>0.85</v>
      </c>
      <c r="F16" s="72">
        <f t="shared" si="3"/>
        <v>0.85</v>
      </c>
      <c r="G16" s="72">
        <f t="shared" si="3"/>
        <v>0.85</v>
      </c>
      <c r="H16" s="72">
        <f t="shared" si="3"/>
        <v>0.85</v>
      </c>
      <c r="I16" s="72">
        <f t="shared" si="3"/>
        <v>0.85</v>
      </c>
      <c r="J16" s="72">
        <f t="shared" si="3"/>
        <v>0.85</v>
      </c>
      <c r="K16" s="72">
        <f t="shared" si="3"/>
        <v>0.85</v>
      </c>
      <c r="L16" s="72">
        <f t="shared" si="3"/>
        <v>0.85</v>
      </c>
      <c r="M16" s="73">
        <f t="shared" si="3"/>
        <v>0.85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5" t="s">
        <v>64</v>
      </c>
      <c r="C17" s="95" t="s">
        <v>65</v>
      </c>
      <c r="D17" s="74">
        <f t="shared" ref="D17:M17" si="4">D9-D6</f>
        <v>274</v>
      </c>
      <c r="E17" s="74">
        <f t="shared" si="4"/>
        <v>274</v>
      </c>
      <c r="F17" s="74">
        <f t="shared" si="4"/>
        <v>274</v>
      </c>
      <c r="G17" s="74">
        <f t="shared" si="4"/>
        <v>274</v>
      </c>
      <c r="H17" s="74">
        <f t="shared" si="4"/>
        <v>275</v>
      </c>
      <c r="I17" s="74">
        <f t="shared" si="4"/>
        <v>275</v>
      </c>
      <c r="J17" s="74">
        <f t="shared" si="4"/>
        <v>275</v>
      </c>
      <c r="K17" s="74">
        <f t="shared" si="4"/>
        <v>275</v>
      </c>
      <c r="L17" s="74">
        <f t="shared" si="4"/>
        <v>276</v>
      </c>
      <c r="M17" s="75">
        <f t="shared" si="4"/>
        <v>276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5" t="s">
        <v>66</v>
      </c>
      <c r="C18" s="36" t="s">
        <v>27</v>
      </c>
      <c r="D18" s="70">
        <f t="shared" ref="D18:M18" si="5">D15-D14</f>
        <v>5428</v>
      </c>
      <c r="E18" s="70">
        <f t="shared" si="5"/>
        <v>5428</v>
      </c>
      <c r="F18" s="70">
        <f t="shared" si="5"/>
        <v>5428</v>
      </c>
      <c r="G18" s="70">
        <f t="shared" si="5"/>
        <v>5428</v>
      </c>
      <c r="H18" s="70">
        <f t="shared" si="5"/>
        <v>5428</v>
      </c>
      <c r="I18" s="70">
        <f t="shared" si="5"/>
        <v>5428</v>
      </c>
      <c r="J18" s="70">
        <f t="shared" si="5"/>
        <v>5428</v>
      </c>
      <c r="K18" s="70">
        <f t="shared" si="5"/>
        <v>5428</v>
      </c>
      <c r="L18" s="70">
        <f t="shared" si="5"/>
        <v>5428</v>
      </c>
      <c r="M18" s="71">
        <f t="shared" si="5"/>
        <v>5428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5" t="s">
        <v>48</v>
      </c>
      <c r="C19" s="36" t="s">
        <v>37</v>
      </c>
      <c r="D19" s="70">
        <f t="shared" ref="D19:M19" si="6">D5/10000</f>
        <v>0.0036</v>
      </c>
      <c r="E19" s="70">
        <f t="shared" si="6"/>
        <v>0.0036</v>
      </c>
      <c r="F19" s="70">
        <f t="shared" si="6"/>
        <v>0.0036</v>
      </c>
      <c r="G19" s="70">
        <f t="shared" si="6"/>
        <v>0.0036</v>
      </c>
      <c r="H19" s="70">
        <f t="shared" si="6"/>
        <v>0.0036</v>
      </c>
      <c r="I19" s="70">
        <f t="shared" si="6"/>
        <v>0.0036</v>
      </c>
      <c r="J19" s="70">
        <f t="shared" si="6"/>
        <v>0.0036</v>
      </c>
      <c r="K19" s="70">
        <f t="shared" si="6"/>
        <v>0.0036</v>
      </c>
      <c r="L19" s="70">
        <f t="shared" si="6"/>
        <v>0.0036</v>
      </c>
      <c r="M19" s="71">
        <f t="shared" si="6"/>
        <v>0.0036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5" t="s">
        <v>67</v>
      </c>
      <c r="C20" s="36" t="s">
        <v>68</v>
      </c>
      <c r="D20" s="96">
        <f t="shared" ref="D20:M20" si="7">IFERROR(D7/D5,0)</f>
        <v>222.2222222</v>
      </c>
      <c r="E20" s="96">
        <f t="shared" si="7"/>
        <v>222.2222222</v>
      </c>
      <c r="F20" s="96">
        <f t="shared" si="7"/>
        <v>222.2222222</v>
      </c>
      <c r="G20" s="96">
        <f t="shared" si="7"/>
        <v>222.2222222</v>
      </c>
      <c r="H20" s="96">
        <f t="shared" si="7"/>
        <v>222.2222222</v>
      </c>
      <c r="I20" s="96">
        <f t="shared" si="7"/>
        <v>222.2222222</v>
      </c>
      <c r="J20" s="96">
        <f t="shared" si="7"/>
        <v>222.2222222</v>
      </c>
      <c r="K20" s="96">
        <f t="shared" si="7"/>
        <v>222.2222222</v>
      </c>
      <c r="L20" s="96">
        <f t="shared" si="7"/>
        <v>222.2222222</v>
      </c>
      <c r="M20" s="97">
        <f t="shared" si="7"/>
        <v>222.2222222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5" t="s">
        <v>69</v>
      </c>
      <c r="C21" s="36" t="s">
        <v>70</v>
      </c>
      <c r="D21" s="96">
        <f t="shared" ref="D21:M21" si="8">IFERROR(D15/D5,0)</f>
        <v>151.1111111</v>
      </c>
      <c r="E21" s="96">
        <f t="shared" si="8"/>
        <v>151.1111111</v>
      </c>
      <c r="F21" s="96">
        <f t="shared" si="8"/>
        <v>151.1111111</v>
      </c>
      <c r="G21" s="96">
        <f t="shared" si="8"/>
        <v>151.1111111</v>
      </c>
      <c r="H21" s="96">
        <f t="shared" si="8"/>
        <v>151.1111111</v>
      </c>
      <c r="I21" s="96">
        <f t="shared" si="8"/>
        <v>151.1111111</v>
      </c>
      <c r="J21" s="96">
        <f t="shared" si="8"/>
        <v>151.1111111</v>
      </c>
      <c r="K21" s="96">
        <f t="shared" si="8"/>
        <v>151.1111111</v>
      </c>
      <c r="L21" s="96">
        <f t="shared" si="8"/>
        <v>151.1111111</v>
      </c>
      <c r="M21" s="97">
        <f t="shared" si="8"/>
        <v>151.1111111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5" t="s">
        <v>71</v>
      </c>
      <c r="C22" s="36" t="s">
        <v>72</v>
      </c>
      <c r="D22" s="96">
        <f t="shared" ref="D22:M22" si="9">IFERROR(D15/D19,0)</f>
        <v>1511111.111</v>
      </c>
      <c r="E22" s="96">
        <f t="shared" si="9"/>
        <v>1511111.111</v>
      </c>
      <c r="F22" s="96">
        <f t="shared" si="9"/>
        <v>1511111.111</v>
      </c>
      <c r="G22" s="96">
        <f t="shared" si="9"/>
        <v>1511111.111</v>
      </c>
      <c r="H22" s="96">
        <f t="shared" si="9"/>
        <v>1511111.111</v>
      </c>
      <c r="I22" s="96">
        <f t="shared" si="9"/>
        <v>1511111.111</v>
      </c>
      <c r="J22" s="96">
        <f t="shared" si="9"/>
        <v>1511111.111</v>
      </c>
      <c r="K22" s="96">
        <f t="shared" si="9"/>
        <v>1511111.111</v>
      </c>
      <c r="L22" s="96">
        <f t="shared" si="9"/>
        <v>1511111.111</v>
      </c>
      <c r="M22" s="97">
        <f t="shared" si="9"/>
        <v>1511111.111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42" t="s">
        <v>73</v>
      </c>
      <c r="C23" s="78"/>
      <c r="D23" s="79">
        <f t="shared" ref="D23:M23" si="10">IFERROR(D12/D18,0)</f>
        <v>1.105379514</v>
      </c>
      <c r="E23" s="79">
        <f t="shared" si="10"/>
        <v>1.105379514</v>
      </c>
      <c r="F23" s="79">
        <f t="shared" si="10"/>
        <v>1.105379514</v>
      </c>
      <c r="G23" s="79">
        <f t="shared" si="10"/>
        <v>1.105379514</v>
      </c>
      <c r="H23" s="79">
        <f t="shared" si="10"/>
        <v>1.105379514</v>
      </c>
      <c r="I23" s="79">
        <f t="shared" si="10"/>
        <v>1.105379514</v>
      </c>
      <c r="J23" s="79">
        <f t="shared" si="10"/>
        <v>1.105379514</v>
      </c>
      <c r="K23" s="79">
        <f t="shared" si="10"/>
        <v>1.105379514</v>
      </c>
      <c r="L23" s="79">
        <f t="shared" si="10"/>
        <v>1.105379514</v>
      </c>
      <c r="M23" s="80">
        <f t="shared" si="10"/>
        <v>1.105379514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M2"/>
    <mergeCell ref="S2:T2"/>
    <mergeCell ref="B3:M3"/>
    <mergeCell ref="B13:M13"/>
  </mergeCells>
  <printOptions/>
  <pageMargins bottom="0.787401575" footer="0.0" header="0.0" left="0.511811024" right="0.511811024" top="0.787401575"/>
  <pageSetup orientation="landscape"/>
  <drawing r:id="rId1"/>
</worksheet>
</file>