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530" tabRatio="942"/>
  </bookViews>
  <sheets>
    <sheet name="Início" sheetId="1" r:id="rId1"/>
    <sheet name="METAS" sheetId="2" r:id="rId2"/>
    <sheet name="SISTEMA" sheetId="16" r:id="rId3"/>
    <sheet name="PREÇO" sheetId="5" r:id="rId4"/>
    <sheet name="CAPACIDADE PRODUTIVA" sheetId="3" r:id="rId5"/>
    <sheet name="MANEJO ALIMENTAR" sheetId="4" r:id="rId6"/>
    <sheet name="DIMENSIONAMENTO DAS DESPESCAS" sheetId="19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K8" i="4" l="1"/>
  <c r="J8" i="4"/>
  <c r="H26" i="4"/>
  <c r="G27" i="4" s="1"/>
  <c r="H27" i="4" s="1"/>
  <c r="G28" i="4" s="1"/>
  <c r="K28" i="4"/>
  <c r="K27" i="4"/>
  <c r="K26" i="4"/>
  <c r="K44" i="4" s="1"/>
  <c r="J17" i="4"/>
  <c r="J14" i="4"/>
  <c r="J11" i="4"/>
  <c r="G20" i="3"/>
  <c r="J16" i="3"/>
  <c r="J10" i="3"/>
  <c r="G10" i="3"/>
  <c r="G12" i="3" s="1"/>
  <c r="I9" i="3" s="1"/>
  <c r="I7" i="5"/>
  <c r="I7" i="16"/>
  <c r="K62" i="4" l="1"/>
  <c r="K54" i="4"/>
  <c r="K46" i="4"/>
  <c r="K59" i="4"/>
  <c r="K51" i="4"/>
  <c r="K43" i="4"/>
  <c r="K58" i="4"/>
  <c r="K50" i="4"/>
  <c r="K42" i="4"/>
  <c r="K41" i="4"/>
  <c r="K55" i="4"/>
  <c r="K47" i="4"/>
  <c r="K61" i="4"/>
  <c r="K57" i="4"/>
  <c r="K53" i="4"/>
  <c r="K49" i="4"/>
  <c r="K45" i="4"/>
  <c r="K60" i="4"/>
  <c r="K56" i="4"/>
  <c r="K52" i="4"/>
  <c r="K48" i="4"/>
  <c r="I26" i="4"/>
  <c r="H28" i="4"/>
  <c r="K33" i="4"/>
  <c r="K34" i="4" s="1"/>
  <c r="K35" i="4" s="1"/>
  <c r="K36" i="4" s="1"/>
  <c r="K37" i="4"/>
  <c r="K38" i="4" s="1"/>
  <c r="K39" i="4" s="1"/>
  <c r="K40" i="4" s="1"/>
  <c r="K29" i="4"/>
  <c r="K30" i="4" s="1"/>
  <c r="K31" i="4" s="1"/>
  <c r="K32" i="4" s="1"/>
  <c r="F16" i="3"/>
  <c r="H16" i="3" s="1"/>
  <c r="J12" i="3"/>
  <c r="I16" i="3" s="1"/>
  <c r="G29" i="4" l="1"/>
  <c r="H29" i="4" s="1"/>
  <c r="G30" i="4" s="1"/>
  <c r="H30" i="4" s="1"/>
  <c r="G31" i="4" s="1"/>
  <c r="H31" i="4" s="1"/>
  <c r="G32" i="4" s="1"/>
  <c r="J26" i="4"/>
  <c r="L26" i="4"/>
  <c r="M26" i="4" s="1"/>
  <c r="N26" i="4" s="1"/>
  <c r="I27" i="4"/>
  <c r="F20" i="3"/>
  <c r="H20" i="3" s="1"/>
  <c r="K16" i="3"/>
  <c r="J27" i="4" l="1"/>
  <c r="L27" i="4"/>
  <c r="M27" i="4" s="1"/>
  <c r="N27" i="4" s="1"/>
  <c r="I28" i="4"/>
  <c r="I20" i="3"/>
  <c r="J20" i="3" s="1"/>
  <c r="L20" i="3"/>
  <c r="K20" i="3"/>
  <c r="J28" i="4" l="1"/>
  <c r="L28" i="4"/>
  <c r="M28" i="4" s="1"/>
  <c r="N28" i="4" s="1"/>
  <c r="I29" i="4"/>
  <c r="J29" i="4" l="1"/>
  <c r="L29" i="4"/>
  <c r="M29" i="4" s="1"/>
  <c r="N29" i="4" s="1"/>
  <c r="O26" i="4" s="1"/>
  <c r="I30" i="4"/>
  <c r="J30" i="4" s="1"/>
  <c r="H32" i="4"/>
  <c r="G33" i="4" s="1"/>
  <c r="L11" i="4" l="1"/>
  <c r="L30" i="4"/>
  <c r="H33" i="4"/>
  <c r="G34" i="4" s="1"/>
  <c r="H34" i="4" s="1"/>
  <c r="G35" i="4" s="1"/>
  <c r="H35" i="4" s="1"/>
  <c r="I31" i="4"/>
  <c r="J31" i="4" s="1"/>
  <c r="N11" i="4" l="1"/>
  <c r="O11" i="4" s="1"/>
  <c r="G18" i="19" s="1"/>
  <c r="K18" i="19" s="1"/>
  <c r="M30" i="4"/>
  <c r="N30" i="4" s="1"/>
  <c r="M11" i="4"/>
  <c r="L31" i="4"/>
  <c r="I32" i="4"/>
  <c r="J32" i="4" s="1"/>
  <c r="O18" i="19" l="1"/>
  <c r="G32" i="19"/>
  <c r="M31" i="4"/>
  <c r="N31" i="4" s="1"/>
  <c r="L32" i="4"/>
  <c r="I33" i="4"/>
  <c r="J33" i="4" s="1"/>
  <c r="K33" i="19" l="1"/>
  <c r="O33" i="19"/>
  <c r="S18" i="19"/>
  <c r="M32" i="4"/>
  <c r="N32" i="4" s="1"/>
  <c r="I34" i="4"/>
  <c r="J34" i="4" s="1"/>
  <c r="G36" i="4"/>
  <c r="H36" i="4" s="1"/>
  <c r="L33" i="4"/>
  <c r="S32" i="19" l="1"/>
  <c r="W18" i="19"/>
  <c r="W33" i="19" s="1"/>
  <c r="G48" i="19"/>
  <c r="K48" i="19"/>
  <c r="M33" i="4"/>
  <c r="N33" i="4" s="1"/>
  <c r="O30" i="4" s="1"/>
  <c r="L12" i="4" s="1"/>
  <c r="L34" i="4"/>
  <c r="G37" i="4"/>
  <c r="H37" i="4" s="1"/>
  <c r="G38" i="4" s="1"/>
  <c r="H38" i="4" s="1"/>
  <c r="G39" i="4" s="1"/>
  <c r="H39" i="4" s="1"/>
  <c r="I35" i="4"/>
  <c r="J35" i="4" s="1"/>
  <c r="N12" i="4" l="1"/>
  <c r="O12" i="4" s="1"/>
  <c r="G19" i="19" s="1"/>
  <c r="K19" i="19" s="1"/>
  <c r="M12" i="4"/>
  <c r="M34" i="4"/>
  <c r="N34" i="4" s="1"/>
  <c r="I36" i="4"/>
  <c r="J36" i="4" s="1"/>
  <c r="L35" i="4"/>
  <c r="G33" i="19" l="1"/>
  <c r="O19" i="19"/>
  <c r="M35" i="4"/>
  <c r="N35" i="4" s="1"/>
  <c r="L36" i="4"/>
  <c r="I37" i="4"/>
  <c r="J37" i="4" s="1"/>
  <c r="O34" i="19" l="1"/>
  <c r="S19" i="19"/>
  <c r="K34" i="19"/>
  <c r="M36" i="4"/>
  <c r="N36" i="4" s="1"/>
  <c r="I38" i="4"/>
  <c r="J38" i="4" s="1"/>
  <c r="L37" i="4"/>
  <c r="G40" i="4"/>
  <c r="H40" i="4" s="1"/>
  <c r="S33" i="19" l="1"/>
  <c r="W19" i="19"/>
  <c r="W34" i="19" s="1"/>
  <c r="K49" i="19"/>
  <c r="G49" i="19"/>
  <c r="M37" i="4"/>
  <c r="N37" i="4" s="1"/>
  <c r="O34" i="4" s="1"/>
  <c r="L13" i="4" s="1"/>
  <c r="L38" i="4"/>
  <c r="I39" i="4"/>
  <c r="J39" i="4" s="1"/>
  <c r="G41" i="4"/>
  <c r="H41" i="4" s="1"/>
  <c r="G42" i="4" s="1"/>
  <c r="H42" i="4" s="1"/>
  <c r="G43" i="4" s="1"/>
  <c r="H43" i="4" s="1"/>
  <c r="N13" i="4" l="1"/>
  <c r="O13" i="4" s="1"/>
  <c r="G20" i="19" s="1"/>
  <c r="K20" i="19" s="1"/>
  <c r="M13" i="4"/>
  <c r="M38" i="4"/>
  <c r="N38" i="4" s="1"/>
  <c r="L39" i="4"/>
  <c r="I40" i="4"/>
  <c r="J40" i="4" s="1"/>
  <c r="G34" i="19" l="1"/>
  <c r="O20" i="19"/>
  <c r="M39" i="4"/>
  <c r="N39" i="4" s="1"/>
  <c r="I41" i="4"/>
  <c r="J41" i="4" s="1"/>
  <c r="L40" i="4"/>
  <c r="O35" i="19" l="1"/>
  <c r="S20" i="19"/>
  <c r="K35" i="19"/>
  <c r="M40" i="4"/>
  <c r="N40" i="4" s="1"/>
  <c r="I42" i="4"/>
  <c r="L41" i="4"/>
  <c r="G44" i="4"/>
  <c r="H44" i="4" s="1"/>
  <c r="S34" i="19" l="1"/>
  <c r="W20" i="19"/>
  <c r="W35" i="19" s="1"/>
  <c r="K50" i="19"/>
  <c r="G50" i="19"/>
  <c r="J42" i="4"/>
  <c r="L42" i="4"/>
  <c r="M42" i="4" s="1"/>
  <c r="N42" i="4" s="1"/>
  <c r="M41" i="4"/>
  <c r="N41" i="4" s="1"/>
  <c r="O38" i="4" s="1"/>
  <c r="L14" i="4" s="1"/>
  <c r="G45" i="4"/>
  <c r="H45" i="4" s="1"/>
  <c r="G46" i="4" s="1"/>
  <c r="H46" i="4" s="1"/>
  <c r="G47" i="4" s="1"/>
  <c r="H47" i="4" s="1"/>
  <c r="I43" i="4"/>
  <c r="N14" i="4" l="1"/>
  <c r="O14" i="4" s="1"/>
  <c r="G21" i="19" s="1"/>
  <c r="K21" i="19" s="1"/>
  <c r="J43" i="4"/>
  <c r="L43" i="4"/>
  <c r="M43" i="4" s="1"/>
  <c r="N43" i="4" s="1"/>
  <c r="M14" i="4"/>
  <c r="I44" i="4"/>
  <c r="O21" i="19" l="1"/>
  <c r="G35" i="19"/>
  <c r="J44" i="4"/>
  <c r="L44" i="4"/>
  <c r="M44" i="4" s="1"/>
  <c r="N44" i="4" s="1"/>
  <c r="I45" i="4"/>
  <c r="K36" i="19" l="1"/>
  <c r="O36" i="19"/>
  <c r="S21" i="19"/>
  <c r="J45" i="4"/>
  <c r="L45" i="4"/>
  <c r="M45" i="4" s="1"/>
  <c r="N45" i="4" s="1"/>
  <c r="O42" i="4" s="1"/>
  <c r="L15" i="4" s="1"/>
  <c r="G48" i="4"/>
  <c r="H48" i="4" s="1"/>
  <c r="I46" i="4"/>
  <c r="S35" i="19" l="1"/>
  <c r="W21" i="19"/>
  <c r="W36" i="19" s="1"/>
  <c r="G51" i="19"/>
  <c r="K51" i="19"/>
  <c r="N15" i="4"/>
  <c r="O15" i="4" s="1"/>
  <c r="G22" i="19" s="1"/>
  <c r="K22" i="19" s="1"/>
  <c r="J46" i="4"/>
  <c r="L46" i="4"/>
  <c r="M46" i="4" s="1"/>
  <c r="N46" i="4" s="1"/>
  <c r="M15" i="4"/>
  <c r="I47" i="4"/>
  <c r="G49" i="4"/>
  <c r="H49" i="4" s="1"/>
  <c r="G50" i="4" s="1"/>
  <c r="H50" i="4" s="1"/>
  <c r="G51" i="4" s="1"/>
  <c r="H51" i="4" s="1"/>
  <c r="G52" i="4" s="1"/>
  <c r="H52" i="4" s="1"/>
  <c r="G53" i="4" s="1"/>
  <c r="H53" i="4" s="1"/>
  <c r="G54" i="4" s="1"/>
  <c r="H54" i="4" s="1"/>
  <c r="G55" i="4" s="1"/>
  <c r="H55" i="4" s="1"/>
  <c r="G36" i="19" l="1"/>
  <c r="O22" i="19"/>
  <c r="J47" i="4"/>
  <c r="L47" i="4"/>
  <c r="M47" i="4" s="1"/>
  <c r="N47" i="4" s="1"/>
  <c r="I48" i="4"/>
  <c r="K37" i="19" l="1"/>
  <c r="O37" i="19"/>
  <c r="S22" i="19"/>
  <c r="J48" i="4"/>
  <c r="L48" i="4"/>
  <c r="M48" i="4" s="1"/>
  <c r="N48" i="4" s="1"/>
  <c r="I49" i="4"/>
  <c r="S36" i="19" l="1"/>
  <c r="W22" i="19"/>
  <c r="W37" i="19" s="1"/>
  <c r="G52" i="19"/>
  <c r="K52" i="19"/>
  <c r="J49" i="4"/>
  <c r="L49" i="4"/>
  <c r="M49" i="4" s="1"/>
  <c r="N49" i="4" s="1"/>
  <c r="O46" i="4" s="1"/>
  <c r="L16" i="4" s="1"/>
  <c r="N16" i="4" s="1"/>
  <c r="O16" i="4" s="1"/>
  <c r="G23" i="19" s="1"/>
  <c r="K23" i="19" s="1"/>
  <c r="I50" i="4"/>
  <c r="J50" i="4" s="1"/>
  <c r="G37" i="19" l="1"/>
  <c r="O23" i="19"/>
  <c r="M16" i="4"/>
  <c r="L50" i="4"/>
  <c r="I51" i="4"/>
  <c r="J51" i="4" s="1"/>
  <c r="O38" i="19" l="1"/>
  <c r="S23" i="19"/>
  <c r="K38" i="19"/>
  <c r="M50" i="4"/>
  <c r="N50" i="4" s="1"/>
  <c r="L51" i="4"/>
  <c r="I52" i="4"/>
  <c r="J52" i="4" s="1"/>
  <c r="S37" i="19" l="1"/>
  <c r="W23" i="19"/>
  <c r="W38" i="19" s="1"/>
  <c r="K53" i="19"/>
  <c r="G53" i="19"/>
  <c r="M51" i="4"/>
  <c r="N51" i="4" s="1"/>
  <c r="I53" i="4"/>
  <c r="J53" i="4" s="1"/>
  <c r="L52" i="4"/>
  <c r="M52" i="4" l="1"/>
  <c r="N52" i="4" s="1"/>
  <c r="L53" i="4"/>
  <c r="G56" i="4"/>
  <c r="H56" i="4" s="1"/>
  <c r="I54" i="4"/>
  <c r="J54" i="4" s="1"/>
  <c r="M53" i="4" l="1"/>
  <c r="N53" i="4" s="1"/>
  <c r="O50" i="4" s="1"/>
  <c r="L17" i="4" s="1"/>
  <c r="I55" i="4"/>
  <c r="J55" i="4" s="1"/>
  <c r="L54" i="4"/>
  <c r="G57" i="4"/>
  <c r="H57" i="4" s="1"/>
  <c r="N17" i="4" l="1"/>
  <c r="O17" i="4" s="1"/>
  <c r="K12" i="19" s="1"/>
  <c r="M17" i="4"/>
  <c r="M54" i="4"/>
  <c r="N54" i="4" s="1"/>
  <c r="L55" i="4"/>
  <c r="I56" i="4"/>
  <c r="J56" i="4" s="1"/>
  <c r="G58" i="4"/>
  <c r="H58" i="4" s="1"/>
  <c r="G27" i="19" l="1"/>
  <c r="O12" i="19"/>
  <c r="M55" i="4"/>
  <c r="N55" i="4" s="1"/>
  <c r="I57" i="4"/>
  <c r="J57" i="4" s="1"/>
  <c r="L56" i="4"/>
  <c r="G59" i="4"/>
  <c r="H59" i="4" s="1"/>
  <c r="O27" i="19" l="1"/>
  <c r="G38" i="19"/>
  <c r="S12" i="19"/>
  <c r="M56" i="4"/>
  <c r="N56" i="4" s="1"/>
  <c r="L57" i="4"/>
  <c r="I58" i="4"/>
  <c r="J58" i="4" s="1"/>
  <c r="G60" i="4"/>
  <c r="H60" i="4" s="1"/>
  <c r="S27" i="19" l="1"/>
  <c r="W12" i="19"/>
  <c r="S38" i="19" s="1"/>
  <c r="K42" i="19"/>
  <c r="G42" i="19"/>
  <c r="M57" i="4"/>
  <c r="N57" i="4" s="1"/>
  <c r="O54" i="4" s="1"/>
  <c r="L18" i="4" s="1"/>
  <c r="L58" i="4"/>
  <c r="I59" i="4"/>
  <c r="J59" i="4" s="1"/>
  <c r="G61" i="4"/>
  <c r="H61" i="4" s="1"/>
  <c r="N18" i="4" l="1"/>
  <c r="O18" i="4" s="1"/>
  <c r="K13" i="19" s="1"/>
  <c r="M18" i="4"/>
  <c r="M58" i="4"/>
  <c r="N58" i="4" s="1"/>
  <c r="L59" i="4"/>
  <c r="G62" i="4"/>
  <c r="H62" i="4" s="1"/>
  <c r="I60" i="4"/>
  <c r="J60" i="4" s="1"/>
  <c r="G28" i="19" l="1"/>
  <c r="O13" i="19"/>
  <c r="M59" i="4"/>
  <c r="N59" i="4" s="1"/>
  <c r="I62" i="4"/>
  <c r="J62" i="4" s="1"/>
  <c r="L60" i="4"/>
  <c r="I61" i="4"/>
  <c r="J61" i="4" s="1"/>
  <c r="O28" i="19" l="1"/>
  <c r="S13" i="19"/>
  <c r="K27" i="19"/>
  <c r="M60" i="4"/>
  <c r="N60" i="4" s="1"/>
  <c r="L61" i="4"/>
  <c r="L62" i="4"/>
  <c r="S28" i="19" l="1"/>
  <c r="W13" i="19"/>
  <c r="W27" i="19" s="1"/>
  <c r="K43" i="19"/>
  <c r="G43" i="19"/>
  <c r="M61" i="4"/>
  <c r="N61" i="4" s="1"/>
  <c r="O58" i="4" s="1"/>
  <c r="L19" i="4" s="1"/>
  <c r="M62" i="4"/>
  <c r="N62" i="4" s="1"/>
  <c r="O62" i="4" s="1"/>
  <c r="L20" i="4" s="1"/>
  <c r="I8" i="4" l="1"/>
  <c r="L8" i="4" s="1"/>
  <c r="N20" i="4"/>
  <c r="O20" i="4" s="1"/>
  <c r="K15" i="19" s="1"/>
  <c r="M20" i="4"/>
  <c r="N19" i="4"/>
  <c r="O19" i="4" s="1"/>
  <c r="K14" i="19" s="1"/>
  <c r="M19" i="4"/>
  <c r="G29" i="19" l="1"/>
  <c r="O14" i="19"/>
  <c r="O15" i="19"/>
  <c r="G30" i="19"/>
  <c r="N21" i="4"/>
  <c r="O21" i="4"/>
  <c r="O30" i="19" l="1"/>
  <c r="S15" i="19"/>
  <c r="K29" i="19"/>
  <c r="O29" i="19"/>
  <c r="S14" i="19"/>
  <c r="K28" i="19"/>
  <c r="K44" i="19" l="1"/>
  <c r="G44" i="19"/>
  <c r="S30" i="19"/>
  <c r="W15" i="19"/>
  <c r="W29" i="19" s="1"/>
  <c r="S29" i="19"/>
  <c r="W14" i="19"/>
  <c r="W28" i="19" s="1"/>
  <c r="G45" i="19"/>
  <c r="K45" i="19"/>
</calcChain>
</file>

<file path=xl/sharedStrings.xml><?xml version="1.0" encoding="utf-8"?>
<sst xmlns="http://schemas.openxmlformats.org/spreadsheetml/2006/main" count="292" uniqueCount="97">
  <si>
    <t>Mês</t>
  </si>
  <si>
    <t>Qtd</t>
  </si>
  <si>
    <t>m³</t>
  </si>
  <si>
    <t>Total:</t>
  </si>
  <si>
    <t>Ração</t>
  </si>
  <si>
    <t>R$/mês</t>
  </si>
  <si>
    <t>Ano</t>
  </si>
  <si>
    <t>Metas:</t>
  </si>
  <si>
    <t>Área disponível (m²)</t>
  </si>
  <si>
    <t>Peso de abate (kg)</t>
  </si>
  <si>
    <t>Despescas/ano</t>
  </si>
  <si>
    <t>R$/ano</t>
  </si>
  <si>
    <t>Tempo de retorno</t>
  </si>
  <si>
    <t>2 anos</t>
  </si>
  <si>
    <t>10 meses</t>
  </si>
  <si>
    <t>Duração do ciclo</t>
  </si>
  <si>
    <t>R$ 1.800 a R$ 2.000</t>
  </si>
  <si>
    <t>R$ 21.600 a R$ 24.000</t>
  </si>
  <si>
    <t>Tanques</t>
  </si>
  <si>
    <t>Tanque de polietileno com placas galvanizadas</t>
  </si>
  <si>
    <t>Capacidade (m³)</t>
  </si>
  <si>
    <t>Capacidade do Sistema (m³)</t>
  </si>
  <si>
    <t>Sistema:</t>
  </si>
  <si>
    <t>Preço</t>
  </si>
  <si>
    <t>Cenário</t>
  </si>
  <si>
    <t>Preço pago (R$/kg)</t>
  </si>
  <si>
    <t>Preço médio (R$/kg)</t>
  </si>
  <si>
    <t>Venda para consumidor na região da propriedade</t>
  </si>
  <si>
    <t>Feira do Peixe Vivo</t>
  </si>
  <si>
    <t>Densidade</t>
  </si>
  <si>
    <t>Alevinos</t>
  </si>
  <si>
    <t>X</t>
  </si>
  <si>
    <t xml:space="preserve">X = </t>
  </si>
  <si>
    <t>Peixes</t>
  </si>
  <si>
    <t>%</t>
  </si>
  <si>
    <t xml:space="preserve">Mortalidade: </t>
  </si>
  <si>
    <t>X =</t>
  </si>
  <si>
    <t>Número inicial de peixes</t>
  </si>
  <si>
    <t>Peso inicial (g)</t>
  </si>
  <si>
    <t>Biomassa inicial (kg)</t>
  </si>
  <si>
    <t>Número final de peixes</t>
  </si>
  <si>
    <t>Peso final (g)</t>
  </si>
  <si>
    <t>Biomassa final (kg)</t>
  </si>
  <si>
    <t>Produção (kg)</t>
  </si>
  <si>
    <t>Faturamento/despesca</t>
  </si>
  <si>
    <t>Faturamento/mês</t>
  </si>
  <si>
    <t>Produtividade (kg/m³)</t>
  </si>
  <si>
    <t>Produtividade (kg/m²)</t>
  </si>
  <si>
    <t>Capacidade Produtiva:</t>
  </si>
  <si>
    <t>Manejo Alimentar</t>
  </si>
  <si>
    <t>GPD (g/dia)</t>
  </si>
  <si>
    <t>Tempo (dias)</t>
  </si>
  <si>
    <t>Preço 25 kg</t>
  </si>
  <si>
    <t>Preço/kg</t>
  </si>
  <si>
    <t>Total (kg)</t>
  </si>
  <si>
    <t>Preço Total (R$/kg)</t>
  </si>
  <si>
    <t>Qtd sacos 25 kg</t>
  </si>
  <si>
    <t>Preço Total (R$/saco)</t>
  </si>
  <si>
    <r>
      <t xml:space="preserve">Vitta Fish AcquaPesca </t>
    </r>
    <r>
      <rPr>
        <b/>
        <sz val="11"/>
        <color theme="1"/>
        <rFont val="Calibri"/>
        <family val="2"/>
        <scheme val="minor"/>
      </rPr>
      <t>36% PB</t>
    </r>
  </si>
  <si>
    <r>
      <t xml:space="preserve">Vitta Fish AcquaPesca </t>
    </r>
    <r>
      <rPr>
        <b/>
        <sz val="11"/>
        <color theme="1"/>
        <rFont val="Calibri"/>
        <family val="2"/>
        <scheme val="minor"/>
      </rPr>
      <t>32% PB</t>
    </r>
  </si>
  <si>
    <r>
      <t>Vitta Fish AcquaPesca</t>
    </r>
    <r>
      <rPr>
        <b/>
        <sz val="11"/>
        <color theme="1"/>
        <rFont val="Calibri"/>
        <family val="2"/>
        <scheme val="minor"/>
      </rPr>
      <t xml:space="preserve"> 28% PB</t>
    </r>
  </si>
  <si>
    <t>% Peso Vivo (PV)*</t>
  </si>
  <si>
    <t>*Água à 29°C</t>
  </si>
  <si>
    <t>PESAR PELO MENOS 100 ANIMAIS DE CADA TANQUE A CADA 7 DIAS OU, NO MÁXIMO, 14 DIAS!</t>
  </si>
  <si>
    <t>Peso Inicial (g)</t>
  </si>
  <si>
    <t>Peso Final (g)</t>
  </si>
  <si>
    <t>Peso Médio (g)</t>
  </si>
  <si>
    <t>Qtd Peixes</t>
  </si>
  <si>
    <t>Biomassa (kg)</t>
  </si>
  <si>
    <t>Arraç. (g/d/peixe)</t>
  </si>
  <si>
    <t>Arraç. (kg/dia)</t>
  </si>
  <si>
    <t>Arraç./fase (kg/fase)</t>
  </si>
  <si>
    <t>Dias</t>
  </si>
  <si>
    <t>Total fornecido</t>
  </si>
  <si>
    <t>Total produzido</t>
  </si>
  <si>
    <t>Total estocado</t>
  </si>
  <si>
    <t>CA</t>
  </si>
  <si>
    <t>Conversão Alimentar (CA)</t>
  </si>
  <si>
    <t>Dimensionamento das Despescas</t>
  </si>
  <si>
    <t>Calendário Páscoa</t>
  </si>
  <si>
    <t>Data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</si>
  <si>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</si>
  <si>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</si>
  <si>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</si>
  <si>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</si>
  <si>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</si>
  <si>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</si>
  <si>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</si>
  <si>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</si>
  <si>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</si>
  <si>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</si>
  <si>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</si>
  <si>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</si>
  <si>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Atividade</t>
  </si>
  <si>
    <t>R$ aliment.</t>
  </si>
  <si>
    <t>Início ciclo</t>
  </si>
  <si>
    <t>Despesca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</si>
</sst>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R$&quot;\ #,##0;[Red]\-&quot;R$&quot;\ #,##0"/>
    <numFmt numFmtId="43" formatCode="_-* #,##0.00_-;\-* #,##0.00_-;_-* &quot;-&quot;??_-;_-@_-"/>
    <numFmt numFmtId="164" formatCode="&quot;R$&quot;\ #,##0.00"/>
    <numFmt numFmtId="165" formatCode="#,##0_ ;\-#,##0\ "/>
    <numFmt numFmtId="166" formatCode="0.0%"/>
    <numFmt numFmtId="167" formatCode="0.0"/>
    <numFmt numFmtId="168" formatCode="#,##0.00_ ;\-#,##0.00\ "/>
    <numFmt numFmtId="169" formatCode="#,##0.000_ ;\-#,##0.000\ 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48"/>
      <color rgb="FF3366FF"/>
      <name val="Amatic SC"/>
    </font>
    <font>
      <sz val="36"/>
      <color rgb="FF3366FF"/>
      <name val="Bernard MT Condensed"/>
      <family val="1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6" fontId="5" fillId="0" borderId="2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9" fontId="0" fillId="0" borderId="1" xfId="2" applyNumberFormat="1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9" fontId="3" fillId="8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165" fontId="3" fillId="2" borderId="1" xfId="2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1" xfId="2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9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17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8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67" fontId="10" fillId="2" borderId="11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/>
    </xf>
    <xf numFmtId="167" fontId="10" fillId="2" borderId="11" xfId="0" applyNumberFormat="1" applyFont="1" applyFill="1" applyBorder="1" applyAlignment="1">
      <alignment horizontal="center"/>
    </xf>
    <xf numFmtId="167" fontId="10" fillId="2" borderId="16" xfId="0" applyNumberFormat="1" applyFont="1" applyFill="1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0" fontId="8" fillId="0" borderId="19" xfId="0" applyNumberFormat="1" applyFont="1" applyBorder="1" applyAlignment="1">
      <alignment horizontal="center" vertical="center"/>
    </xf>
    <xf numFmtId="170" fontId="8" fillId="0" borderId="20" xfId="0" applyNumberFormat="1" applyFont="1" applyBorder="1" applyAlignment="1">
      <alignment horizontal="center" vertical="center"/>
    </xf>
    <xf numFmtId="170" fontId="8" fillId="0" borderId="2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66FF"/>
      <color rgb="FF00CC00"/>
      <color rgb="FF00FF99"/>
      <color rgb="FF6666FF"/>
      <color rgb="FF0099FF"/>
      <color rgb="FFEBE604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ISTEMA!A1"/><Relationship Id="rId7" Type="http://schemas.openxmlformats.org/officeDocument/2006/relationships/hyperlink" Target="#PRE&#199;O!A1"/><Relationship Id="rId2" Type="http://schemas.openxmlformats.org/officeDocument/2006/relationships/hyperlink" Target="#METAS!A1"/><Relationship Id="rId1" Type="http://schemas.openxmlformats.org/officeDocument/2006/relationships/image" Target="../media/image1.png"/><Relationship Id="rId6" Type="http://schemas.openxmlformats.org/officeDocument/2006/relationships/hyperlink" Target="#'DIMENSIONAMENTO DAS DESPESCAS'!A1"/><Relationship Id="rId5" Type="http://schemas.openxmlformats.org/officeDocument/2006/relationships/hyperlink" Target="#'MANEJO ALIMENTAR'!A1"/><Relationship Id="rId4" Type="http://schemas.openxmlformats.org/officeDocument/2006/relationships/hyperlink" Target="#'CAPACIDADE PRODUTIVA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DIMENSIONAMENTO DAS DESPESCAS'!A1"/><Relationship Id="rId3" Type="http://schemas.openxmlformats.org/officeDocument/2006/relationships/hyperlink" Target="#SISTEMA!A1"/><Relationship Id="rId7" Type="http://schemas.openxmlformats.org/officeDocument/2006/relationships/hyperlink" Target="#'MANEJO ALIMENTAR'!A1"/><Relationship Id="rId2" Type="http://schemas.openxmlformats.org/officeDocument/2006/relationships/hyperlink" Target="#In&#237;cio!A1"/><Relationship Id="rId1" Type="http://schemas.openxmlformats.org/officeDocument/2006/relationships/image" Target="../media/image2.png"/><Relationship Id="rId6" Type="http://schemas.openxmlformats.org/officeDocument/2006/relationships/hyperlink" Target="#'CAPACIDADE PRODUTIVA'!A1"/><Relationship Id="rId5" Type="http://schemas.openxmlformats.org/officeDocument/2006/relationships/hyperlink" Target="#PRE&#199;O!A1"/><Relationship Id="rId10" Type="http://schemas.openxmlformats.org/officeDocument/2006/relationships/image" Target="../media/image4.png"/><Relationship Id="rId4" Type="http://schemas.openxmlformats.org/officeDocument/2006/relationships/hyperlink" Target="#METAS!A1"/><Relationship Id="rId9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DIMENSIONAMENTO DAS DESPESCAS'!A1"/><Relationship Id="rId3" Type="http://schemas.openxmlformats.org/officeDocument/2006/relationships/hyperlink" Target="#SISTEMA!A1"/><Relationship Id="rId7" Type="http://schemas.openxmlformats.org/officeDocument/2006/relationships/hyperlink" Target="#'MANEJO ALIMENTAR'!A1"/><Relationship Id="rId2" Type="http://schemas.openxmlformats.org/officeDocument/2006/relationships/hyperlink" Target="#In&#237;cio!A1"/><Relationship Id="rId1" Type="http://schemas.openxmlformats.org/officeDocument/2006/relationships/image" Target="../media/image2.png"/><Relationship Id="rId6" Type="http://schemas.openxmlformats.org/officeDocument/2006/relationships/hyperlink" Target="#'CAPACIDADE PRODUTIVA'!A1"/><Relationship Id="rId5" Type="http://schemas.openxmlformats.org/officeDocument/2006/relationships/hyperlink" Target="#PRE&#199;O!A1"/><Relationship Id="rId4" Type="http://schemas.openxmlformats.org/officeDocument/2006/relationships/hyperlink" Target="#METAS!A1"/><Relationship Id="rId9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DIMENSIONAMENTO DAS DESPESCAS'!A1"/><Relationship Id="rId3" Type="http://schemas.openxmlformats.org/officeDocument/2006/relationships/hyperlink" Target="#SISTEMA!A1"/><Relationship Id="rId7" Type="http://schemas.openxmlformats.org/officeDocument/2006/relationships/hyperlink" Target="#'MANEJO ALIMENTAR'!A1"/><Relationship Id="rId2" Type="http://schemas.openxmlformats.org/officeDocument/2006/relationships/hyperlink" Target="#In&#237;cio!A1"/><Relationship Id="rId1" Type="http://schemas.openxmlformats.org/officeDocument/2006/relationships/image" Target="../media/image2.png"/><Relationship Id="rId6" Type="http://schemas.openxmlformats.org/officeDocument/2006/relationships/hyperlink" Target="#'CAPACIDADE PRODUTIVA'!A1"/><Relationship Id="rId5" Type="http://schemas.openxmlformats.org/officeDocument/2006/relationships/hyperlink" Target="#PRE&#199;O!A1"/><Relationship Id="rId4" Type="http://schemas.openxmlformats.org/officeDocument/2006/relationships/hyperlink" Target="#METAS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DIMENSIONAMENTO DAS DESPESCAS'!A1"/><Relationship Id="rId3" Type="http://schemas.openxmlformats.org/officeDocument/2006/relationships/hyperlink" Target="#SISTEMA!A1"/><Relationship Id="rId7" Type="http://schemas.openxmlformats.org/officeDocument/2006/relationships/hyperlink" Target="#'MANEJO ALIMENTAR'!A1"/><Relationship Id="rId2" Type="http://schemas.openxmlformats.org/officeDocument/2006/relationships/hyperlink" Target="#In&#237;cio!A1"/><Relationship Id="rId1" Type="http://schemas.openxmlformats.org/officeDocument/2006/relationships/image" Target="../media/image2.png"/><Relationship Id="rId6" Type="http://schemas.openxmlformats.org/officeDocument/2006/relationships/hyperlink" Target="#'CAPACIDADE PRODUTIVA'!A1"/><Relationship Id="rId5" Type="http://schemas.openxmlformats.org/officeDocument/2006/relationships/hyperlink" Target="#PRE&#199;O!A1"/><Relationship Id="rId4" Type="http://schemas.openxmlformats.org/officeDocument/2006/relationships/hyperlink" Target="#METAS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DIMENSIONAMENTO DAS DESPESCAS'!A1"/><Relationship Id="rId3" Type="http://schemas.openxmlformats.org/officeDocument/2006/relationships/hyperlink" Target="#SISTEMA!A1"/><Relationship Id="rId7" Type="http://schemas.openxmlformats.org/officeDocument/2006/relationships/hyperlink" Target="#'MANEJO ALIMENTAR'!A1"/><Relationship Id="rId2" Type="http://schemas.openxmlformats.org/officeDocument/2006/relationships/hyperlink" Target="#In&#237;cio!A1"/><Relationship Id="rId1" Type="http://schemas.openxmlformats.org/officeDocument/2006/relationships/image" Target="../media/image2.png"/><Relationship Id="rId6" Type="http://schemas.openxmlformats.org/officeDocument/2006/relationships/hyperlink" Target="#'CAPACIDADE PRODUTIVA'!A1"/><Relationship Id="rId5" Type="http://schemas.openxmlformats.org/officeDocument/2006/relationships/hyperlink" Target="#PRE&#199;O!A1"/><Relationship Id="rId4" Type="http://schemas.openxmlformats.org/officeDocument/2006/relationships/hyperlink" Target="#META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DIMENSIONAMENTO DAS DESPESCAS'!A1"/><Relationship Id="rId3" Type="http://schemas.openxmlformats.org/officeDocument/2006/relationships/hyperlink" Target="#SISTEMA!A1"/><Relationship Id="rId7" Type="http://schemas.openxmlformats.org/officeDocument/2006/relationships/hyperlink" Target="#'MANEJO ALIMENTAR'!A1"/><Relationship Id="rId2" Type="http://schemas.openxmlformats.org/officeDocument/2006/relationships/hyperlink" Target="#In&#237;cio!A1"/><Relationship Id="rId1" Type="http://schemas.openxmlformats.org/officeDocument/2006/relationships/image" Target="../media/image2.png"/><Relationship Id="rId6" Type="http://schemas.openxmlformats.org/officeDocument/2006/relationships/hyperlink" Target="#'CAPACIDADE PRODUTIVA'!A1"/><Relationship Id="rId5" Type="http://schemas.openxmlformats.org/officeDocument/2006/relationships/hyperlink" Target="#PRE&#199;O!A1"/><Relationship Id="rId4" Type="http://schemas.openxmlformats.org/officeDocument/2006/relationships/hyperlink" Target="#META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122033</xdr:rowOff>
    </xdr:from>
    <xdr:to>
      <xdr:col>10</xdr:col>
      <xdr:colOff>76200</xdr:colOff>
      <xdr:row>10</xdr:row>
      <xdr:rowOff>153006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22033"/>
          <a:ext cx="2724150" cy="1935973"/>
        </a:xfrm>
        <a:prstGeom prst="rect">
          <a:avLst/>
        </a:prstGeom>
      </xdr:spPr>
    </xdr:pic>
    <xdr:clientData/>
  </xdr:twoCellAnchor>
  <xdr:twoCellAnchor>
    <xdr:from>
      <xdr:col>9</xdr:col>
      <xdr:colOff>285750</xdr:colOff>
      <xdr:row>4</xdr:row>
      <xdr:rowOff>1</xdr:rowOff>
    </xdr:from>
    <xdr:to>
      <xdr:col>16</xdr:col>
      <xdr:colOff>180974</xdr:colOff>
      <xdr:row>7</xdr:row>
      <xdr:rowOff>57151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72150" y="762001"/>
          <a:ext cx="4162424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4000" baseline="0">
              <a:solidFill>
                <a:schemeClr val="accent1">
                  <a:lumMod val="75000"/>
                </a:schemeClr>
              </a:solidFill>
              <a:latin typeface="Bernard MT Condensed" panose="02050806060905020404" pitchFamily="18" charset="0"/>
            </a:rPr>
            <a:t>Sistema Produtivo</a:t>
          </a:r>
        </a:p>
        <a:p>
          <a:pPr algn="ctr"/>
          <a:endParaRPr lang="pt-BR" sz="1100"/>
        </a:p>
      </xdr:txBody>
    </xdr:sp>
    <xdr:clientData/>
  </xdr:twoCellAnchor>
  <xdr:twoCellAnchor>
    <xdr:from>
      <xdr:col>4</xdr:col>
      <xdr:colOff>590550</xdr:colOff>
      <xdr:row>11</xdr:row>
      <xdr:rowOff>161925</xdr:rowOff>
    </xdr:from>
    <xdr:to>
      <xdr:col>10</xdr:col>
      <xdr:colOff>257176</xdr:colOff>
      <xdr:row>14</xdr:row>
      <xdr:rowOff>0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028950" y="2257425"/>
          <a:ext cx="3324226" cy="409575"/>
        </a:xfrm>
        <a:prstGeom prst="roundRect">
          <a:avLst/>
        </a:prstGeom>
        <a:solidFill>
          <a:srgbClr val="3366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METAS</a:t>
          </a:r>
        </a:p>
      </xdr:txBody>
    </xdr:sp>
    <xdr:clientData/>
  </xdr:twoCellAnchor>
  <xdr:twoCellAnchor>
    <xdr:from>
      <xdr:col>10</xdr:col>
      <xdr:colOff>381000</xdr:colOff>
      <xdr:row>11</xdr:row>
      <xdr:rowOff>152400</xdr:rowOff>
    </xdr:from>
    <xdr:to>
      <xdr:col>16</xdr:col>
      <xdr:colOff>0</xdr:colOff>
      <xdr:row>13</xdr:row>
      <xdr:rowOff>171450</xdr:rowOff>
    </xdr:to>
    <xdr:sp macro="" textlink="">
      <xdr:nvSpPr>
        <xdr:cNvPr id="7" name="Retângulo de cantos arredondados 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6477000" y="2247900"/>
          <a:ext cx="3276600" cy="400050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SISTEMA</a:t>
          </a:r>
        </a:p>
      </xdr:txBody>
    </xdr:sp>
    <xdr:clientData/>
  </xdr:twoCellAnchor>
  <xdr:twoCellAnchor>
    <xdr:from>
      <xdr:col>4</xdr:col>
      <xdr:colOff>581025</xdr:colOff>
      <xdr:row>17</xdr:row>
      <xdr:rowOff>152400</xdr:rowOff>
    </xdr:from>
    <xdr:to>
      <xdr:col>10</xdr:col>
      <xdr:colOff>219075</xdr:colOff>
      <xdr:row>19</xdr:row>
      <xdr:rowOff>171450</xdr:rowOff>
    </xdr:to>
    <xdr:sp macro="" textlink="">
      <xdr:nvSpPr>
        <xdr:cNvPr id="20" name="Retângulo de cantos arredondados 19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3019425" y="3390900"/>
          <a:ext cx="3295650" cy="400050"/>
        </a:xfrm>
        <a:prstGeom prst="round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CAPACIDADE</a:t>
          </a: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PRODUTIVA</a:t>
          </a:r>
          <a:endParaRPr lang="pt-BR" sz="11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380999</xdr:colOff>
      <xdr:row>17</xdr:row>
      <xdr:rowOff>152400</xdr:rowOff>
    </xdr:from>
    <xdr:to>
      <xdr:col>16</xdr:col>
      <xdr:colOff>28574</xdr:colOff>
      <xdr:row>19</xdr:row>
      <xdr:rowOff>171450</xdr:rowOff>
    </xdr:to>
    <xdr:sp macro="" textlink="">
      <xdr:nvSpPr>
        <xdr:cNvPr id="24" name="Retângulo de cantos arredondados 23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6476999" y="3390900"/>
          <a:ext cx="3305175" cy="400050"/>
        </a:xfrm>
        <a:prstGeom prst="roundRect">
          <a:avLst/>
        </a:prstGeom>
        <a:solidFill>
          <a:schemeClr val="accent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MANEJ</a:t>
          </a: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O ALIMENTAR</a:t>
          </a:r>
          <a:endParaRPr lang="pt-BR" sz="11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590550</xdr:colOff>
      <xdr:row>20</xdr:row>
      <xdr:rowOff>152400</xdr:rowOff>
    </xdr:from>
    <xdr:to>
      <xdr:col>16</xdr:col>
      <xdr:colOff>38100</xdr:colOff>
      <xdr:row>22</xdr:row>
      <xdr:rowOff>171450</xdr:rowOff>
    </xdr:to>
    <xdr:sp macro="" textlink="">
      <xdr:nvSpPr>
        <xdr:cNvPr id="28" name="Retângulo de cantos arredondados 2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3028950" y="3962400"/>
          <a:ext cx="6762750" cy="40005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DIMENSIONAMENTO DAS DESPESCAS</a:t>
          </a:r>
        </a:p>
      </xdr:txBody>
    </xdr:sp>
    <xdr:clientData/>
  </xdr:twoCellAnchor>
  <xdr:twoCellAnchor>
    <xdr:from>
      <xdr:col>4</xdr:col>
      <xdr:colOff>581026</xdr:colOff>
      <xdr:row>14</xdr:row>
      <xdr:rowOff>171450</xdr:rowOff>
    </xdr:from>
    <xdr:to>
      <xdr:col>16</xdr:col>
      <xdr:colOff>28576</xdr:colOff>
      <xdr:row>17</xdr:row>
      <xdr:rowOff>0</xdr:rowOff>
    </xdr:to>
    <xdr:sp macro="" textlink="">
      <xdr:nvSpPr>
        <xdr:cNvPr id="18" name="Retângulo de cantos arredondados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3019426" y="2838450"/>
          <a:ext cx="6762750" cy="400050"/>
        </a:xfrm>
        <a:prstGeom prst="roundRect">
          <a:avLst/>
        </a:prstGeom>
        <a:solidFill>
          <a:srgbClr val="00CC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PREÇO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532355</xdr:colOff>
      <xdr:row>6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675355" cy="1190625"/>
        </a:xfrm>
        <a:prstGeom prst="rect">
          <a:avLst/>
        </a:prstGeom>
      </xdr:spPr>
    </xdr:pic>
    <xdr:clientData/>
  </xdr:twoCellAnchor>
  <xdr:twoCellAnchor>
    <xdr:from>
      <xdr:col>0</xdr:col>
      <xdr:colOff>228601</xdr:colOff>
      <xdr:row>7</xdr:row>
      <xdr:rowOff>85725</xdr:rowOff>
    </xdr:from>
    <xdr:to>
      <xdr:col>2</xdr:col>
      <xdr:colOff>409575</xdr:colOff>
      <xdr:row>8</xdr:row>
      <xdr:rowOff>123825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28601" y="1428750"/>
          <a:ext cx="1400174" cy="2286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Início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225426</xdr:colOff>
      <xdr:row>10</xdr:row>
      <xdr:rowOff>95250</xdr:rowOff>
    </xdr:from>
    <xdr:to>
      <xdr:col>2</xdr:col>
      <xdr:colOff>406400</xdr:colOff>
      <xdr:row>11</xdr:row>
      <xdr:rowOff>123825</xdr:rowOff>
    </xdr:to>
    <xdr:sp macro="" textlink="">
      <xdr:nvSpPr>
        <xdr:cNvPr id="17" name="Retângulo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225426" y="2009775"/>
          <a:ext cx="1400174" cy="21907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Sistema</a:t>
          </a:r>
        </a:p>
      </xdr:txBody>
    </xdr:sp>
    <xdr:clientData/>
  </xdr:twoCellAnchor>
  <xdr:twoCellAnchor>
    <xdr:from>
      <xdr:col>0</xdr:col>
      <xdr:colOff>228601</xdr:colOff>
      <xdr:row>9</xdr:row>
      <xdr:rowOff>0</xdr:rowOff>
    </xdr:from>
    <xdr:to>
      <xdr:col>2</xdr:col>
      <xdr:colOff>409575</xdr:colOff>
      <xdr:row>10</xdr:row>
      <xdr:rowOff>28575</xdr:rowOff>
    </xdr:to>
    <xdr:sp macro="" textlink="">
      <xdr:nvSpPr>
        <xdr:cNvPr id="18" name="Retângulo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28601" y="1724025"/>
          <a:ext cx="1400174" cy="219075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/>
            <a:t>Metas</a:t>
          </a:r>
        </a:p>
      </xdr:txBody>
    </xdr:sp>
    <xdr:clientData/>
  </xdr:twoCellAnchor>
  <xdr:twoCellAnchor>
    <xdr:from>
      <xdr:col>0</xdr:col>
      <xdr:colOff>228601</xdr:colOff>
      <xdr:row>12</xdr:row>
      <xdr:rowOff>6351</xdr:rowOff>
    </xdr:from>
    <xdr:to>
      <xdr:col>2</xdr:col>
      <xdr:colOff>409575</xdr:colOff>
      <xdr:row>13</xdr:row>
      <xdr:rowOff>44450</xdr:rowOff>
    </xdr:to>
    <xdr:sp macro="" textlink="">
      <xdr:nvSpPr>
        <xdr:cNvPr id="21" name="Retângulo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/>
      </xdr:nvSpPr>
      <xdr:spPr>
        <a:xfrm>
          <a:off x="228601" y="2301876"/>
          <a:ext cx="1400174" cy="228599"/>
        </a:xfrm>
        <a:prstGeom prst="rect">
          <a:avLst/>
        </a:prstGeom>
        <a:solidFill>
          <a:srgbClr val="00CC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Preço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222250</xdr:colOff>
      <xdr:row>13</xdr:row>
      <xdr:rowOff>111124</xdr:rowOff>
    </xdr:from>
    <xdr:to>
      <xdr:col>2</xdr:col>
      <xdr:colOff>403224</xdr:colOff>
      <xdr:row>14</xdr:row>
      <xdr:rowOff>133349</xdr:rowOff>
    </xdr:to>
    <xdr:sp macro="" textlink="">
      <xdr:nvSpPr>
        <xdr:cNvPr id="37" name="Retângulo 3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222250" y="2597149"/>
          <a:ext cx="1400174" cy="2127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Capac. Produtiva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228600</xdr:colOff>
      <xdr:row>15</xdr:row>
      <xdr:rowOff>6350</xdr:rowOff>
    </xdr:from>
    <xdr:to>
      <xdr:col>2</xdr:col>
      <xdr:colOff>409574</xdr:colOff>
      <xdr:row>16</xdr:row>
      <xdr:rowOff>38100</xdr:rowOff>
    </xdr:to>
    <xdr:sp macro="" textlink="">
      <xdr:nvSpPr>
        <xdr:cNvPr id="38" name="Retângulo 3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28600" y="2873375"/>
          <a:ext cx="1400174" cy="22225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Manejo</a:t>
          </a:r>
          <a:r>
            <a:rPr lang="pt-BR" sz="1100" b="1" baseline="0"/>
            <a:t> Alimentar</a:t>
          </a:r>
          <a:endParaRPr lang="pt-BR" sz="1100" b="1"/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228600</xdr:colOff>
      <xdr:row>16</xdr:row>
      <xdr:rowOff>98425</xdr:rowOff>
    </xdr:from>
    <xdr:to>
      <xdr:col>2</xdr:col>
      <xdr:colOff>409574</xdr:colOff>
      <xdr:row>17</xdr:row>
      <xdr:rowOff>127000</xdr:rowOff>
    </xdr:to>
    <xdr:sp macro="" textlink="">
      <xdr:nvSpPr>
        <xdr:cNvPr id="19" name="Retângulo 18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28600" y="3155950"/>
          <a:ext cx="1400174" cy="21907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Dimens. Despescas</a:t>
          </a:r>
        </a:p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1095376</xdr:colOff>
      <xdr:row>8</xdr:row>
      <xdr:rowOff>133350</xdr:rowOff>
    </xdr:from>
    <xdr:to>
      <xdr:col>7</xdr:col>
      <xdr:colOff>1076325</xdr:colOff>
      <xdr:row>15</xdr:row>
      <xdr:rowOff>85724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1" y="1657350"/>
          <a:ext cx="1285874" cy="1285874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8</xdr:row>
      <xdr:rowOff>114301</xdr:rowOff>
    </xdr:from>
    <xdr:to>
      <xdr:col>9</xdr:col>
      <xdr:colOff>954994</xdr:colOff>
      <xdr:row>16</xdr:row>
      <xdr:rowOff>1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638301"/>
          <a:ext cx="1936069" cy="140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522830</xdr:colOff>
      <xdr:row>6</xdr:row>
      <xdr:rowOff>161925</xdr:rowOff>
    </xdr:to>
    <xdr:pic>
      <xdr:nvPicPr>
        <xdr:cNvPr id="19" name="Imagem 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1675355" cy="1190625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7</xdr:row>
      <xdr:rowOff>76200</xdr:rowOff>
    </xdr:from>
    <xdr:to>
      <xdr:col>2</xdr:col>
      <xdr:colOff>400050</xdr:colOff>
      <xdr:row>8</xdr:row>
      <xdr:rowOff>114300</xdr:rowOff>
    </xdr:to>
    <xdr:sp macro="" textlink="">
      <xdr:nvSpPr>
        <xdr:cNvPr id="20" name="Retângulo 19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19076" y="1419225"/>
          <a:ext cx="1400174" cy="2286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Início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215901</xdr:colOff>
      <xdr:row>10</xdr:row>
      <xdr:rowOff>76200</xdr:rowOff>
    </xdr:from>
    <xdr:to>
      <xdr:col>2</xdr:col>
      <xdr:colOff>396875</xdr:colOff>
      <xdr:row>11</xdr:row>
      <xdr:rowOff>104775</xdr:rowOff>
    </xdr:to>
    <xdr:sp macro="" textlink="">
      <xdr:nvSpPr>
        <xdr:cNvPr id="21" name="Retângulo 2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215901" y="2000250"/>
          <a:ext cx="1400174" cy="21907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Sistema</a:t>
          </a:r>
        </a:p>
      </xdr:txBody>
    </xdr:sp>
    <xdr:clientData/>
  </xdr:twoCellAnchor>
  <xdr:twoCellAnchor>
    <xdr:from>
      <xdr:col>0</xdr:col>
      <xdr:colOff>219076</xdr:colOff>
      <xdr:row>8</xdr:row>
      <xdr:rowOff>180975</xdr:rowOff>
    </xdr:from>
    <xdr:to>
      <xdr:col>2</xdr:col>
      <xdr:colOff>400050</xdr:colOff>
      <xdr:row>10</xdr:row>
      <xdr:rowOff>9525</xdr:rowOff>
    </xdr:to>
    <xdr:sp macro="" textlink="">
      <xdr:nvSpPr>
        <xdr:cNvPr id="22" name="Retângulo 21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19076" y="1714500"/>
          <a:ext cx="1400174" cy="219075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/>
            <a:t>Metas</a:t>
          </a:r>
        </a:p>
      </xdr:txBody>
    </xdr:sp>
    <xdr:clientData/>
  </xdr:twoCellAnchor>
  <xdr:twoCellAnchor>
    <xdr:from>
      <xdr:col>0</xdr:col>
      <xdr:colOff>219076</xdr:colOff>
      <xdr:row>11</xdr:row>
      <xdr:rowOff>177801</xdr:rowOff>
    </xdr:from>
    <xdr:to>
      <xdr:col>2</xdr:col>
      <xdr:colOff>400050</xdr:colOff>
      <xdr:row>13</xdr:row>
      <xdr:rowOff>25400</xdr:rowOff>
    </xdr:to>
    <xdr:sp macro="" textlink="">
      <xdr:nvSpPr>
        <xdr:cNvPr id="23" name="Retângulo 2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/>
      </xdr:nvSpPr>
      <xdr:spPr>
        <a:xfrm>
          <a:off x="219076" y="2292351"/>
          <a:ext cx="1400174" cy="228599"/>
        </a:xfrm>
        <a:prstGeom prst="rect">
          <a:avLst/>
        </a:prstGeom>
        <a:solidFill>
          <a:srgbClr val="00CC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Preço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212725</xdr:colOff>
      <xdr:row>13</xdr:row>
      <xdr:rowOff>92074</xdr:rowOff>
    </xdr:from>
    <xdr:to>
      <xdr:col>2</xdr:col>
      <xdr:colOff>393699</xdr:colOff>
      <xdr:row>14</xdr:row>
      <xdr:rowOff>104774</xdr:rowOff>
    </xdr:to>
    <xdr:sp macro="" textlink="">
      <xdr:nvSpPr>
        <xdr:cNvPr id="24" name="Retângulo 23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212725" y="2587624"/>
          <a:ext cx="1400174" cy="2127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Capac. Produtiva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219075</xdr:colOff>
      <xdr:row>14</xdr:row>
      <xdr:rowOff>168275</xdr:rowOff>
    </xdr:from>
    <xdr:to>
      <xdr:col>2</xdr:col>
      <xdr:colOff>400049</xdr:colOff>
      <xdr:row>16</xdr:row>
      <xdr:rowOff>9525</xdr:rowOff>
    </xdr:to>
    <xdr:sp macro="" textlink="">
      <xdr:nvSpPr>
        <xdr:cNvPr id="25" name="Retângulo 2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19075" y="2863850"/>
          <a:ext cx="1400174" cy="22225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Manejo</a:t>
          </a:r>
          <a:r>
            <a:rPr lang="pt-BR" sz="1100" b="1" baseline="0"/>
            <a:t> Alimentar</a:t>
          </a:r>
          <a:endParaRPr lang="pt-BR" sz="1100" b="1"/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219075</xdr:colOff>
      <xdr:row>16</xdr:row>
      <xdr:rowOff>69850</xdr:rowOff>
    </xdr:from>
    <xdr:to>
      <xdr:col>2</xdr:col>
      <xdr:colOff>400049</xdr:colOff>
      <xdr:row>17</xdr:row>
      <xdr:rowOff>98425</xdr:rowOff>
    </xdr:to>
    <xdr:sp macro="" textlink="">
      <xdr:nvSpPr>
        <xdr:cNvPr id="26" name="Retângulo 25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19075" y="3146425"/>
          <a:ext cx="1400174" cy="21907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Dimens. Despescas</a:t>
          </a:r>
        </a:p>
        <a:p>
          <a:pPr algn="ctr"/>
          <a:endParaRPr lang="pt-BR" sz="1100"/>
        </a:p>
      </xdr:txBody>
    </xdr:sp>
    <xdr:clientData/>
  </xdr:twoCellAnchor>
  <xdr:twoCellAnchor editAs="oneCell">
    <xdr:from>
      <xdr:col>4</xdr:col>
      <xdr:colOff>600075</xdr:colOff>
      <xdr:row>9</xdr:row>
      <xdr:rowOff>9525</xdr:rowOff>
    </xdr:from>
    <xdr:to>
      <xdr:col>8</xdr:col>
      <xdr:colOff>1743008</xdr:colOff>
      <xdr:row>24</xdr:row>
      <xdr:rowOff>114300</xdr:rowOff>
    </xdr:to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724025"/>
          <a:ext cx="6248333" cy="2962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2</xdr:col>
      <xdr:colOff>541880</xdr:colOff>
      <xdr:row>6</xdr:row>
      <xdr:rowOff>142875</xdr:rowOff>
    </xdr:to>
    <xdr:pic>
      <xdr:nvPicPr>
        <xdr:cNvPr id="34" name="Imagem 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1675355" cy="1190625"/>
        </a:xfrm>
        <a:prstGeom prst="rect">
          <a:avLst/>
        </a:prstGeom>
      </xdr:spPr>
    </xdr:pic>
    <xdr:clientData/>
  </xdr:twoCellAnchor>
  <xdr:twoCellAnchor>
    <xdr:from>
      <xdr:col>0</xdr:col>
      <xdr:colOff>238126</xdr:colOff>
      <xdr:row>7</xdr:row>
      <xdr:rowOff>57150</xdr:rowOff>
    </xdr:from>
    <xdr:to>
      <xdr:col>2</xdr:col>
      <xdr:colOff>419100</xdr:colOff>
      <xdr:row>8</xdr:row>
      <xdr:rowOff>95250</xdr:rowOff>
    </xdr:to>
    <xdr:sp macro="" textlink="">
      <xdr:nvSpPr>
        <xdr:cNvPr id="35" name="Retângulo 3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38126" y="1400175"/>
          <a:ext cx="1400174" cy="2286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Início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234951</xdr:colOff>
      <xdr:row>10</xdr:row>
      <xdr:rowOff>66675</xdr:rowOff>
    </xdr:from>
    <xdr:to>
      <xdr:col>2</xdr:col>
      <xdr:colOff>415925</xdr:colOff>
      <xdr:row>11</xdr:row>
      <xdr:rowOff>95250</xdr:rowOff>
    </xdr:to>
    <xdr:sp macro="" textlink="">
      <xdr:nvSpPr>
        <xdr:cNvPr id="36" name="Retângulo 35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234951" y="1981200"/>
          <a:ext cx="1400174" cy="21907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Sistema</a:t>
          </a:r>
        </a:p>
      </xdr:txBody>
    </xdr:sp>
    <xdr:clientData/>
  </xdr:twoCellAnchor>
  <xdr:twoCellAnchor>
    <xdr:from>
      <xdr:col>0</xdr:col>
      <xdr:colOff>238126</xdr:colOff>
      <xdr:row>8</xdr:row>
      <xdr:rowOff>161925</xdr:rowOff>
    </xdr:from>
    <xdr:to>
      <xdr:col>2</xdr:col>
      <xdr:colOff>419100</xdr:colOff>
      <xdr:row>10</xdr:row>
      <xdr:rowOff>0</xdr:rowOff>
    </xdr:to>
    <xdr:sp macro="" textlink="">
      <xdr:nvSpPr>
        <xdr:cNvPr id="37" name="Retângulo 36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38126" y="1695450"/>
          <a:ext cx="1400174" cy="219075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/>
            <a:t>Metas</a:t>
          </a:r>
        </a:p>
      </xdr:txBody>
    </xdr:sp>
    <xdr:clientData/>
  </xdr:twoCellAnchor>
  <xdr:twoCellAnchor>
    <xdr:from>
      <xdr:col>0</xdr:col>
      <xdr:colOff>238126</xdr:colOff>
      <xdr:row>11</xdr:row>
      <xdr:rowOff>168276</xdr:rowOff>
    </xdr:from>
    <xdr:to>
      <xdr:col>2</xdr:col>
      <xdr:colOff>419100</xdr:colOff>
      <xdr:row>13</xdr:row>
      <xdr:rowOff>15875</xdr:rowOff>
    </xdr:to>
    <xdr:sp macro="" textlink="">
      <xdr:nvSpPr>
        <xdr:cNvPr id="38" name="Retângulo 37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/>
      </xdr:nvSpPr>
      <xdr:spPr>
        <a:xfrm>
          <a:off x="238126" y="2273301"/>
          <a:ext cx="1400174" cy="228599"/>
        </a:xfrm>
        <a:prstGeom prst="rect">
          <a:avLst/>
        </a:prstGeom>
        <a:solidFill>
          <a:srgbClr val="00CC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Preço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231775</xdr:colOff>
      <xdr:row>13</xdr:row>
      <xdr:rowOff>82549</xdr:rowOff>
    </xdr:from>
    <xdr:to>
      <xdr:col>2</xdr:col>
      <xdr:colOff>412749</xdr:colOff>
      <xdr:row>14</xdr:row>
      <xdr:rowOff>104774</xdr:rowOff>
    </xdr:to>
    <xdr:sp macro="" textlink="">
      <xdr:nvSpPr>
        <xdr:cNvPr id="39" name="Retângulo 38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231775" y="2568574"/>
          <a:ext cx="1400174" cy="2127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Capac. Produtiva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238125</xdr:colOff>
      <xdr:row>14</xdr:row>
      <xdr:rowOff>168275</xdr:rowOff>
    </xdr:from>
    <xdr:to>
      <xdr:col>2</xdr:col>
      <xdr:colOff>419099</xdr:colOff>
      <xdr:row>16</xdr:row>
      <xdr:rowOff>9525</xdr:rowOff>
    </xdr:to>
    <xdr:sp macro="" textlink="">
      <xdr:nvSpPr>
        <xdr:cNvPr id="40" name="Retângulo 3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38125" y="2844800"/>
          <a:ext cx="1400174" cy="22225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Manejo</a:t>
          </a:r>
          <a:r>
            <a:rPr lang="pt-BR" sz="1100" b="1" baseline="0"/>
            <a:t> Alimentar</a:t>
          </a:r>
          <a:endParaRPr lang="pt-BR" sz="1100" b="1"/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238125</xdr:colOff>
      <xdr:row>16</xdr:row>
      <xdr:rowOff>69850</xdr:rowOff>
    </xdr:from>
    <xdr:to>
      <xdr:col>2</xdr:col>
      <xdr:colOff>419099</xdr:colOff>
      <xdr:row>17</xdr:row>
      <xdr:rowOff>98425</xdr:rowOff>
    </xdr:to>
    <xdr:sp macro="" textlink="">
      <xdr:nvSpPr>
        <xdr:cNvPr id="41" name="Retângulo 40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38125" y="3127375"/>
          <a:ext cx="1400174" cy="21907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Dimens. Despescas</a:t>
          </a:r>
        </a:p>
        <a:p>
          <a:pPr algn="ctr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2</xdr:col>
      <xdr:colOff>541880</xdr:colOff>
      <xdr:row>6</xdr:row>
      <xdr:rowOff>142875</xdr:rowOff>
    </xdr:to>
    <xdr:pic>
      <xdr:nvPicPr>
        <xdr:cNvPr id="19" name="Imagem 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1675355" cy="1190625"/>
        </a:xfrm>
        <a:prstGeom prst="rect">
          <a:avLst/>
        </a:prstGeom>
      </xdr:spPr>
    </xdr:pic>
    <xdr:clientData/>
  </xdr:twoCellAnchor>
  <xdr:twoCellAnchor>
    <xdr:from>
      <xdr:col>0</xdr:col>
      <xdr:colOff>238126</xdr:colOff>
      <xdr:row>7</xdr:row>
      <xdr:rowOff>57150</xdr:rowOff>
    </xdr:from>
    <xdr:to>
      <xdr:col>2</xdr:col>
      <xdr:colOff>419100</xdr:colOff>
      <xdr:row>8</xdr:row>
      <xdr:rowOff>95250</xdr:rowOff>
    </xdr:to>
    <xdr:sp macro="" textlink="">
      <xdr:nvSpPr>
        <xdr:cNvPr id="20" name="Retângulo 19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38126" y="1400175"/>
          <a:ext cx="1400174" cy="2286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Início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234951</xdr:colOff>
      <xdr:row>10</xdr:row>
      <xdr:rowOff>66675</xdr:rowOff>
    </xdr:from>
    <xdr:to>
      <xdr:col>2</xdr:col>
      <xdr:colOff>415925</xdr:colOff>
      <xdr:row>11</xdr:row>
      <xdr:rowOff>95250</xdr:rowOff>
    </xdr:to>
    <xdr:sp macro="" textlink="">
      <xdr:nvSpPr>
        <xdr:cNvPr id="21" name="Retângulo 2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234951" y="1981200"/>
          <a:ext cx="1400174" cy="21907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Sistema</a:t>
          </a:r>
        </a:p>
      </xdr:txBody>
    </xdr:sp>
    <xdr:clientData/>
  </xdr:twoCellAnchor>
  <xdr:twoCellAnchor>
    <xdr:from>
      <xdr:col>0</xdr:col>
      <xdr:colOff>238126</xdr:colOff>
      <xdr:row>8</xdr:row>
      <xdr:rowOff>161925</xdr:rowOff>
    </xdr:from>
    <xdr:to>
      <xdr:col>2</xdr:col>
      <xdr:colOff>419100</xdr:colOff>
      <xdr:row>10</xdr:row>
      <xdr:rowOff>0</xdr:rowOff>
    </xdr:to>
    <xdr:sp macro="" textlink="">
      <xdr:nvSpPr>
        <xdr:cNvPr id="22" name="Retângulo 21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38126" y="1695450"/>
          <a:ext cx="1400174" cy="219075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/>
            <a:t>Metas</a:t>
          </a:r>
        </a:p>
      </xdr:txBody>
    </xdr:sp>
    <xdr:clientData/>
  </xdr:twoCellAnchor>
  <xdr:twoCellAnchor>
    <xdr:from>
      <xdr:col>0</xdr:col>
      <xdr:colOff>238126</xdr:colOff>
      <xdr:row>11</xdr:row>
      <xdr:rowOff>168276</xdr:rowOff>
    </xdr:from>
    <xdr:to>
      <xdr:col>2</xdr:col>
      <xdr:colOff>419100</xdr:colOff>
      <xdr:row>13</xdr:row>
      <xdr:rowOff>15875</xdr:rowOff>
    </xdr:to>
    <xdr:sp macro="" textlink="">
      <xdr:nvSpPr>
        <xdr:cNvPr id="23" name="Retângulo 2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/>
      </xdr:nvSpPr>
      <xdr:spPr>
        <a:xfrm>
          <a:off x="238126" y="2273301"/>
          <a:ext cx="1400174" cy="228599"/>
        </a:xfrm>
        <a:prstGeom prst="rect">
          <a:avLst/>
        </a:prstGeom>
        <a:solidFill>
          <a:srgbClr val="00CC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Preço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231775</xdr:colOff>
      <xdr:row>13</xdr:row>
      <xdr:rowOff>82549</xdr:rowOff>
    </xdr:from>
    <xdr:to>
      <xdr:col>2</xdr:col>
      <xdr:colOff>412749</xdr:colOff>
      <xdr:row>14</xdr:row>
      <xdr:rowOff>104774</xdr:rowOff>
    </xdr:to>
    <xdr:sp macro="" textlink="">
      <xdr:nvSpPr>
        <xdr:cNvPr id="24" name="Retângulo 23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231775" y="2568574"/>
          <a:ext cx="1400174" cy="2127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Capac. Produtiva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238125</xdr:colOff>
      <xdr:row>14</xdr:row>
      <xdr:rowOff>168275</xdr:rowOff>
    </xdr:from>
    <xdr:to>
      <xdr:col>2</xdr:col>
      <xdr:colOff>419099</xdr:colOff>
      <xdr:row>16</xdr:row>
      <xdr:rowOff>9525</xdr:rowOff>
    </xdr:to>
    <xdr:sp macro="" textlink="">
      <xdr:nvSpPr>
        <xdr:cNvPr id="25" name="Retângulo 2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38125" y="2844800"/>
          <a:ext cx="1400174" cy="22225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Manejo</a:t>
          </a:r>
          <a:r>
            <a:rPr lang="pt-BR" sz="1100" b="1" baseline="0"/>
            <a:t> Alimentar</a:t>
          </a:r>
          <a:endParaRPr lang="pt-BR" sz="1100" b="1"/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238125</xdr:colOff>
      <xdr:row>16</xdr:row>
      <xdr:rowOff>69850</xdr:rowOff>
    </xdr:from>
    <xdr:to>
      <xdr:col>2</xdr:col>
      <xdr:colOff>419099</xdr:colOff>
      <xdr:row>17</xdr:row>
      <xdr:rowOff>98425</xdr:rowOff>
    </xdr:to>
    <xdr:sp macro="" textlink="">
      <xdr:nvSpPr>
        <xdr:cNvPr id="26" name="Retângulo 25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38125" y="3127375"/>
          <a:ext cx="1400174" cy="21907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Dimens. Despescas</a:t>
          </a:r>
        </a:p>
        <a:p>
          <a:pPr algn="ctr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2</xdr:col>
      <xdr:colOff>541880</xdr:colOff>
      <xdr:row>6</xdr:row>
      <xdr:rowOff>161925</xdr:rowOff>
    </xdr:to>
    <xdr:pic>
      <xdr:nvPicPr>
        <xdr:cNvPr id="19" name="Imagem 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675355" cy="1190625"/>
        </a:xfrm>
        <a:prstGeom prst="rect">
          <a:avLst/>
        </a:prstGeom>
      </xdr:spPr>
    </xdr:pic>
    <xdr:clientData/>
  </xdr:twoCellAnchor>
  <xdr:twoCellAnchor>
    <xdr:from>
      <xdr:col>0</xdr:col>
      <xdr:colOff>238126</xdr:colOff>
      <xdr:row>7</xdr:row>
      <xdr:rowOff>76200</xdr:rowOff>
    </xdr:from>
    <xdr:to>
      <xdr:col>2</xdr:col>
      <xdr:colOff>419100</xdr:colOff>
      <xdr:row>8</xdr:row>
      <xdr:rowOff>114300</xdr:rowOff>
    </xdr:to>
    <xdr:sp macro="" textlink="">
      <xdr:nvSpPr>
        <xdr:cNvPr id="20" name="Retângulo 19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38126" y="1419225"/>
          <a:ext cx="1400174" cy="2286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Início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234951</xdr:colOff>
      <xdr:row>10</xdr:row>
      <xdr:rowOff>85725</xdr:rowOff>
    </xdr:from>
    <xdr:to>
      <xdr:col>2</xdr:col>
      <xdr:colOff>415925</xdr:colOff>
      <xdr:row>11</xdr:row>
      <xdr:rowOff>114300</xdr:rowOff>
    </xdr:to>
    <xdr:sp macro="" textlink="">
      <xdr:nvSpPr>
        <xdr:cNvPr id="21" name="Retângulo 2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234951" y="2000250"/>
          <a:ext cx="1400174" cy="21907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Sistema</a:t>
          </a:r>
        </a:p>
      </xdr:txBody>
    </xdr:sp>
    <xdr:clientData/>
  </xdr:twoCellAnchor>
  <xdr:twoCellAnchor>
    <xdr:from>
      <xdr:col>0</xdr:col>
      <xdr:colOff>238126</xdr:colOff>
      <xdr:row>8</xdr:row>
      <xdr:rowOff>180975</xdr:rowOff>
    </xdr:from>
    <xdr:to>
      <xdr:col>2</xdr:col>
      <xdr:colOff>419100</xdr:colOff>
      <xdr:row>10</xdr:row>
      <xdr:rowOff>19050</xdr:rowOff>
    </xdr:to>
    <xdr:sp macro="" textlink="">
      <xdr:nvSpPr>
        <xdr:cNvPr id="22" name="Retângulo 21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38126" y="1714500"/>
          <a:ext cx="1400174" cy="219075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/>
            <a:t>Metas</a:t>
          </a:r>
        </a:p>
      </xdr:txBody>
    </xdr:sp>
    <xdr:clientData/>
  </xdr:twoCellAnchor>
  <xdr:twoCellAnchor>
    <xdr:from>
      <xdr:col>0</xdr:col>
      <xdr:colOff>238126</xdr:colOff>
      <xdr:row>11</xdr:row>
      <xdr:rowOff>187326</xdr:rowOff>
    </xdr:from>
    <xdr:to>
      <xdr:col>2</xdr:col>
      <xdr:colOff>419100</xdr:colOff>
      <xdr:row>13</xdr:row>
      <xdr:rowOff>34925</xdr:rowOff>
    </xdr:to>
    <xdr:sp macro="" textlink="">
      <xdr:nvSpPr>
        <xdr:cNvPr id="23" name="Retângulo 2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/>
      </xdr:nvSpPr>
      <xdr:spPr>
        <a:xfrm>
          <a:off x="238126" y="2292351"/>
          <a:ext cx="1400174" cy="228599"/>
        </a:xfrm>
        <a:prstGeom prst="rect">
          <a:avLst/>
        </a:prstGeom>
        <a:solidFill>
          <a:srgbClr val="00CC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Preço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231775</xdr:colOff>
      <xdr:row>13</xdr:row>
      <xdr:rowOff>101599</xdr:rowOff>
    </xdr:from>
    <xdr:to>
      <xdr:col>2</xdr:col>
      <xdr:colOff>412749</xdr:colOff>
      <xdr:row>14</xdr:row>
      <xdr:rowOff>123824</xdr:rowOff>
    </xdr:to>
    <xdr:sp macro="" textlink="">
      <xdr:nvSpPr>
        <xdr:cNvPr id="24" name="Retângulo 23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231775" y="2587624"/>
          <a:ext cx="1400174" cy="2127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Capac. Produtiva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238125</xdr:colOff>
      <xdr:row>14</xdr:row>
      <xdr:rowOff>187325</xdr:rowOff>
    </xdr:from>
    <xdr:to>
      <xdr:col>2</xdr:col>
      <xdr:colOff>419099</xdr:colOff>
      <xdr:row>16</xdr:row>
      <xdr:rowOff>28575</xdr:rowOff>
    </xdr:to>
    <xdr:sp macro="" textlink="">
      <xdr:nvSpPr>
        <xdr:cNvPr id="25" name="Retângulo 2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38125" y="2863850"/>
          <a:ext cx="1400174" cy="22225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Manejo</a:t>
          </a:r>
          <a:r>
            <a:rPr lang="pt-BR" sz="1100" b="1" baseline="0"/>
            <a:t> Alimentar</a:t>
          </a:r>
          <a:endParaRPr lang="pt-BR" sz="1100" b="1"/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238125</xdr:colOff>
      <xdr:row>16</xdr:row>
      <xdr:rowOff>88900</xdr:rowOff>
    </xdr:from>
    <xdr:to>
      <xdr:col>2</xdr:col>
      <xdr:colOff>419099</xdr:colOff>
      <xdr:row>17</xdr:row>
      <xdr:rowOff>117475</xdr:rowOff>
    </xdr:to>
    <xdr:sp macro="" textlink="">
      <xdr:nvSpPr>
        <xdr:cNvPr id="26" name="Retângulo 25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38125" y="3146425"/>
          <a:ext cx="1400174" cy="21907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Dimens.</a:t>
          </a:r>
          <a:r>
            <a:rPr lang="pt-BR" sz="1100" b="1" baseline="0"/>
            <a:t> Despescas</a:t>
          </a:r>
          <a:endParaRPr lang="pt-BR" sz="1100" b="1"/>
        </a:p>
        <a:p>
          <a:pPr algn="ctr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532355</xdr:colOff>
      <xdr:row>6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675355" cy="1190625"/>
        </a:xfrm>
        <a:prstGeom prst="rect">
          <a:avLst/>
        </a:prstGeom>
      </xdr:spPr>
    </xdr:pic>
    <xdr:clientData/>
  </xdr:twoCellAnchor>
  <xdr:twoCellAnchor>
    <xdr:from>
      <xdr:col>0</xdr:col>
      <xdr:colOff>228601</xdr:colOff>
      <xdr:row>7</xdr:row>
      <xdr:rowOff>95250</xdr:rowOff>
    </xdr:from>
    <xdr:to>
      <xdr:col>2</xdr:col>
      <xdr:colOff>409575</xdr:colOff>
      <xdr:row>8</xdr:row>
      <xdr:rowOff>133350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28601" y="1428750"/>
          <a:ext cx="1400174" cy="2286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Início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225426</xdr:colOff>
      <xdr:row>10</xdr:row>
      <xdr:rowOff>104775</xdr:rowOff>
    </xdr:from>
    <xdr:to>
      <xdr:col>2</xdr:col>
      <xdr:colOff>406400</xdr:colOff>
      <xdr:row>11</xdr:row>
      <xdr:rowOff>133350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225426" y="2009775"/>
          <a:ext cx="1400174" cy="21907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Sistema</a:t>
          </a:r>
        </a:p>
      </xdr:txBody>
    </xdr:sp>
    <xdr:clientData/>
  </xdr:twoCellAnchor>
  <xdr:twoCellAnchor>
    <xdr:from>
      <xdr:col>0</xdr:col>
      <xdr:colOff>228601</xdr:colOff>
      <xdr:row>9</xdr:row>
      <xdr:rowOff>9525</xdr:rowOff>
    </xdr:from>
    <xdr:to>
      <xdr:col>2</xdr:col>
      <xdr:colOff>409575</xdr:colOff>
      <xdr:row>10</xdr:row>
      <xdr:rowOff>38100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28601" y="1724025"/>
          <a:ext cx="1400174" cy="219075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/>
            <a:t>Metas</a:t>
          </a:r>
        </a:p>
      </xdr:txBody>
    </xdr:sp>
    <xdr:clientData/>
  </xdr:twoCellAnchor>
  <xdr:twoCellAnchor>
    <xdr:from>
      <xdr:col>0</xdr:col>
      <xdr:colOff>228601</xdr:colOff>
      <xdr:row>12</xdr:row>
      <xdr:rowOff>15876</xdr:rowOff>
    </xdr:from>
    <xdr:to>
      <xdr:col>2</xdr:col>
      <xdr:colOff>409575</xdr:colOff>
      <xdr:row>13</xdr:row>
      <xdr:rowOff>53975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/>
      </xdr:nvSpPr>
      <xdr:spPr>
        <a:xfrm>
          <a:off x="228601" y="2301876"/>
          <a:ext cx="1400174" cy="228599"/>
        </a:xfrm>
        <a:prstGeom prst="rect">
          <a:avLst/>
        </a:prstGeom>
        <a:solidFill>
          <a:srgbClr val="00CC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Preço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222250</xdr:colOff>
      <xdr:row>13</xdr:row>
      <xdr:rowOff>120649</xdr:rowOff>
    </xdr:from>
    <xdr:to>
      <xdr:col>2</xdr:col>
      <xdr:colOff>403224</xdr:colOff>
      <xdr:row>14</xdr:row>
      <xdr:rowOff>142874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222250" y="2597149"/>
          <a:ext cx="1400174" cy="2127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Capac. Produtiva</a:t>
          </a:r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228600</xdr:colOff>
      <xdr:row>15</xdr:row>
      <xdr:rowOff>15875</xdr:rowOff>
    </xdr:from>
    <xdr:to>
      <xdr:col>2</xdr:col>
      <xdr:colOff>409574</xdr:colOff>
      <xdr:row>16</xdr:row>
      <xdr:rowOff>47625</xdr:rowOff>
    </xdr:to>
    <xdr:sp macro="" textlink="">
      <xdr:nvSpPr>
        <xdr:cNvPr id="8" name="Retângulo 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28600" y="2873375"/>
          <a:ext cx="1400174" cy="22225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Manejo</a:t>
          </a:r>
          <a:r>
            <a:rPr lang="pt-BR" sz="1100" b="1" baseline="0"/>
            <a:t> Alimentar</a:t>
          </a:r>
          <a:endParaRPr lang="pt-BR" sz="1100" b="1"/>
        </a:p>
        <a:p>
          <a:pPr algn="ctr"/>
          <a:endParaRPr lang="pt-BR" sz="1100"/>
        </a:p>
      </xdr:txBody>
    </xdr:sp>
    <xdr:clientData/>
  </xdr:twoCellAnchor>
  <xdr:twoCellAnchor>
    <xdr:from>
      <xdr:col>0</xdr:col>
      <xdr:colOff>228600</xdr:colOff>
      <xdr:row>16</xdr:row>
      <xdr:rowOff>107950</xdr:rowOff>
    </xdr:from>
    <xdr:to>
      <xdr:col>2</xdr:col>
      <xdr:colOff>409574</xdr:colOff>
      <xdr:row>17</xdr:row>
      <xdr:rowOff>136525</xdr:rowOff>
    </xdr:to>
    <xdr:sp macro="" textlink="">
      <xdr:nvSpPr>
        <xdr:cNvPr id="9" name="Retângulo 8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228600" y="3155950"/>
          <a:ext cx="1400174" cy="21907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Dimens.</a:t>
          </a:r>
          <a:r>
            <a:rPr lang="pt-BR" sz="1100" b="1" baseline="0"/>
            <a:t> Despescas</a:t>
          </a:r>
          <a:endParaRPr lang="pt-BR" sz="1100" b="1"/>
        </a:p>
        <a:p>
          <a:pPr algn="ctr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C&#243;pia%20de%20Metas%20do%20CLIENTE,%20Sistema%20e%20Or&#231;amenta&#231;&#227;o%20(com%20tanques%20de%20tamanho%20difer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Sistema SRA"/>
      <sheetName val="Preço"/>
      <sheetName val="Capacidade Produtiva"/>
      <sheetName val="Manejo Alimentar"/>
      <sheetName val="Orçamento"/>
    </sheetNames>
    <sheetDataSet>
      <sheetData sheetId="0"/>
      <sheetData sheetId="1"/>
      <sheetData sheetId="2"/>
      <sheetData sheetId="3">
        <row r="6">
          <cell r="F6">
            <v>15565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showGridLines="0" tabSelected="1" zoomScaleNormal="100" workbookViewId="0"/>
  </sheetViews>
  <sheetFormatPr defaultRowHeight="15" x14ac:dyDescent="0.25"/>
  <cols>
    <col min="16" max="16" width="9.140625" customWidth="1"/>
  </cols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E1:P11"/>
  <sheetViews>
    <sheetView showGridLines="0" zoomScaleNormal="100" workbookViewId="0"/>
  </sheetViews>
  <sheetFormatPr defaultRowHeight="15" x14ac:dyDescent="0.25"/>
  <cols>
    <col min="5" max="5" width="9.28515625" customWidth="1"/>
    <col min="6" max="6" width="20.28515625" customWidth="1"/>
    <col min="7" max="7" width="19.5703125" customWidth="1"/>
    <col min="8" max="8" width="17" customWidth="1"/>
    <col min="9" max="9" width="15.85546875" customWidth="1"/>
    <col min="10" max="10" width="19.5703125" customWidth="1"/>
    <col min="11" max="11" width="21" customWidth="1"/>
    <col min="12" max="12" width="19.140625" customWidth="1"/>
    <col min="13" max="16" width="14.28515625" customWidth="1"/>
    <col min="17" max="17" width="13.5703125" bestFit="1" customWidth="1"/>
  </cols>
  <sheetData>
    <row r="1" spans="5:16" ht="15" customHeight="1" x14ac:dyDescent="0.25">
      <c r="E1" s="83" t="s">
        <v>7</v>
      </c>
      <c r="F1" s="83"/>
      <c r="G1" s="83"/>
      <c r="H1" s="83"/>
      <c r="I1" s="83"/>
      <c r="J1" s="83"/>
      <c r="K1" s="83"/>
      <c r="L1" s="83"/>
      <c r="M1" s="6"/>
      <c r="N1" s="6"/>
      <c r="O1" s="6"/>
      <c r="P1" s="6"/>
    </row>
    <row r="2" spans="5:16" ht="15" customHeight="1" x14ac:dyDescent="0.25">
      <c r="E2" s="83"/>
      <c r="F2" s="83"/>
      <c r="G2" s="83"/>
      <c r="H2" s="83"/>
      <c r="I2" s="83"/>
      <c r="J2" s="83"/>
      <c r="K2" s="83"/>
      <c r="L2" s="83"/>
      <c r="M2" s="6"/>
      <c r="N2" s="6"/>
      <c r="O2" s="6"/>
      <c r="P2" s="6"/>
    </row>
    <row r="3" spans="5:16" ht="15" customHeight="1" x14ac:dyDescent="0.25">
      <c r="E3" s="83"/>
      <c r="F3" s="83"/>
      <c r="G3" s="83"/>
      <c r="H3" s="83"/>
      <c r="I3" s="83"/>
      <c r="J3" s="83"/>
      <c r="K3" s="83"/>
      <c r="L3" s="83"/>
      <c r="M3" s="6"/>
      <c r="N3" s="6"/>
      <c r="O3" s="6"/>
      <c r="P3" s="6"/>
    </row>
    <row r="4" spans="5:16" x14ac:dyDescent="0.25">
      <c r="E4" s="83"/>
      <c r="F4" s="83"/>
      <c r="G4" s="83"/>
      <c r="H4" s="83"/>
      <c r="I4" s="83"/>
      <c r="J4" s="83"/>
      <c r="K4" s="83"/>
      <c r="L4" s="83"/>
    </row>
    <row r="6" spans="5:16" x14ac:dyDescent="0.25">
      <c r="F6" s="13" t="s">
        <v>8</v>
      </c>
      <c r="G6" s="14" t="s">
        <v>9</v>
      </c>
      <c r="H6" s="13" t="s">
        <v>15</v>
      </c>
      <c r="I6" s="13" t="s">
        <v>10</v>
      </c>
      <c r="J6" s="14" t="s">
        <v>5</v>
      </c>
      <c r="K6" s="13" t="s">
        <v>11</v>
      </c>
      <c r="L6" s="15" t="s">
        <v>12</v>
      </c>
    </row>
    <row r="7" spans="5:16" x14ac:dyDescent="0.25">
      <c r="F7" s="9">
        <v>91</v>
      </c>
      <c r="G7" s="10">
        <v>0.7</v>
      </c>
      <c r="H7" s="9" t="s">
        <v>14</v>
      </c>
      <c r="I7" s="9">
        <v>1</v>
      </c>
      <c r="J7" s="10" t="s">
        <v>16</v>
      </c>
      <c r="K7" s="12" t="s">
        <v>17</v>
      </c>
      <c r="L7" s="11" t="s">
        <v>13</v>
      </c>
    </row>
    <row r="9" spans="5:16" x14ac:dyDescent="0.25">
      <c r="E9" s="5"/>
    </row>
    <row r="10" spans="5:16" x14ac:dyDescent="0.25">
      <c r="E10" s="5"/>
    </row>
    <row r="11" spans="5:16" x14ac:dyDescent="0.25">
      <c r="E11" s="5"/>
    </row>
  </sheetData>
  <mergeCells count="1">
    <mergeCell ref="E1:L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F1:I49"/>
  <sheetViews>
    <sheetView showGridLines="0" zoomScaleNormal="100" workbookViewId="0"/>
  </sheetViews>
  <sheetFormatPr defaultRowHeight="15" x14ac:dyDescent="0.25"/>
  <cols>
    <col min="1" max="3" width="9.140625" style="1"/>
    <col min="4" max="5" width="9.28515625" style="1" customWidth="1"/>
    <col min="6" max="6" width="43.28515625" style="1" bestFit="1" customWidth="1"/>
    <col min="7" max="7" width="15.5703125" style="1" bestFit="1" customWidth="1"/>
    <col min="8" max="8" width="8.42578125" style="1" customWidth="1"/>
    <col min="9" max="9" width="26.140625" style="1" bestFit="1" customWidth="1"/>
    <col min="10" max="10" width="23" style="1" bestFit="1" customWidth="1"/>
    <col min="11" max="12" width="20.140625" style="1" bestFit="1" customWidth="1"/>
    <col min="13" max="13" width="11.7109375" style="1" bestFit="1" customWidth="1"/>
    <col min="14" max="14" width="9.42578125" style="1" bestFit="1" customWidth="1"/>
    <col min="15" max="15" width="17" style="1" bestFit="1" customWidth="1"/>
    <col min="16" max="16" width="19.85546875" style="1" bestFit="1" customWidth="1"/>
    <col min="17" max="18" width="20.140625" style="1" bestFit="1" customWidth="1"/>
    <col min="19" max="19" width="9.42578125" style="1" bestFit="1" customWidth="1"/>
    <col min="20" max="20" width="10.85546875" style="1" bestFit="1" customWidth="1"/>
    <col min="21" max="16384" width="9.140625" style="1"/>
  </cols>
  <sheetData>
    <row r="1" spans="6:9" ht="15" customHeight="1" x14ac:dyDescent="0.25">
      <c r="F1" s="83" t="s">
        <v>22</v>
      </c>
      <c r="G1" s="83"/>
      <c r="H1" s="83"/>
      <c r="I1" s="83"/>
    </row>
    <row r="2" spans="6:9" ht="15" customHeight="1" x14ac:dyDescent="0.25">
      <c r="F2" s="83"/>
      <c r="G2" s="83"/>
      <c r="H2" s="83"/>
      <c r="I2" s="83"/>
    </row>
    <row r="3" spans="6:9" ht="15" customHeight="1" x14ac:dyDescent="0.25">
      <c r="F3" s="83"/>
      <c r="G3" s="83"/>
      <c r="H3" s="83"/>
      <c r="I3" s="83"/>
    </row>
    <row r="4" spans="6:9" x14ac:dyDescent="0.25">
      <c r="F4" s="83"/>
      <c r="G4" s="83"/>
      <c r="H4" s="83"/>
      <c r="I4" s="83"/>
    </row>
    <row r="6" spans="6:9" x14ac:dyDescent="0.25">
      <c r="F6" s="18" t="s">
        <v>18</v>
      </c>
      <c r="G6" s="18" t="s">
        <v>20</v>
      </c>
      <c r="H6" s="18" t="s">
        <v>1</v>
      </c>
      <c r="I6" s="18" t="s">
        <v>21</v>
      </c>
    </row>
    <row r="7" spans="6:9" x14ac:dyDescent="0.25">
      <c r="F7" s="8" t="s">
        <v>19</v>
      </c>
      <c r="G7" s="8">
        <v>36.369999999999997</v>
      </c>
      <c r="H7" s="8">
        <v>1</v>
      </c>
      <c r="I7" s="84">
        <f>(G7*H7)+(G8*H8)</f>
        <v>62.26</v>
      </c>
    </row>
    <row r="8" spans="6:9" x14ac:dyDescent="0.25">
      <c r="F8" s="8" t="s">
        <v>19</v>
      </c>
      <c r="G8" s="8">
        <v>25.89</v>
      </c>
      <c r="H8" s="8">
        <v>1</v>
      </c>
      <c r="I8" s="84"/>
    </row>
    <row r="48" ht="15" customHeight="1" x14ac:dyDescent="0.25"/>
    <row r="49" ht="15" customHeight="1" x14ac:dyDescent="0.25"/>
  </sheetData>
  <mergeCells count="2">
    <mergeCell ref="F1:I4"/>
    <mergeCell ref="I7:I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G1:J8"/>
  <sheetViews>
    <sheetView showGridLines="0" workbookViewId="0"/>
  </sheetViews>
  <sheetFormatPr defaultRowHeight="15" x14ac:dyDescent="0.25"/>
  <cols>
    <col min="4" max="5" width="9.28515625" customWidth="1"/>
    <col min="6" max="6" width="11.7109375" bestFit="1" customWidth="1"/>
    <col min="7" max="7" width="45.5703125" bestFit="1" customWidth="1"/>
    <col min="8" max="8" width="17.85546875" bestFit="1" customWidth="1"/>
    <col min="9" max="9" width="19.28515625" bestFit="1" customWidth="1"/>
    <col min="10" max="15" width="10.7109375" bestFit="1" customWidth="1"/>
    <col min="16" max="16" width="11.7109375" bestFit="1" customWidth="1"/>
    <col min="17" max="17" width="10.85546875" bestFit="1" customWidth="1"/>
  </cols>
  <sheetData>
    <row r="1" spans="7:10" ht="15" customHeight="1" x14ac:dyDescent="0.25">
      <c r="G1" s="83" t="s">
        <v>23</v>
      </c>
      <c r="H1" s="83"/>
      <c r="I1" s="83"/>
      <c r="J1" s="6"/>
    </row>
    <row r="2" spans="7:10" ht="15" customHeight="1" x14ac:dyDescent="0.25">
      <c r="G2" s="83"/>
      <c r="H2" s="83"/>
      <c r="I2" s="83"/>
      <c r="J2" s="6"/>
    </row>
    <row r="3" spans="7:10" ht="15" customHeight="1" x14ac:dyDescent="0.25">
      <c r="G3" s="83"/>
      <c r="H3" s="83"/>
      <c r="I3" s="83"/>
      <c r="J3" s="6"/>
    </row>
    <row r="4" spans="7:10" ht="15" customHeight="1" x14ac:dyDescent="0.25">
      <c r="G4" s="83"/>
      <c r="H4" s="83"/>
      <c r="I4" s="83"/>
      <c r="J4" s="6"/>
    </row>
    <row r="6" spans="7:10" x14ac:dyDescent="0.25">
      <c r="G6" s="22" t="s">
        <v>24</v>
      </c>
      <c r="H6" s="22" t="s">
        <v>25</v>
      </c>
      <c r="I6" s="22" t="s">
        <v>26</v>
      </c>
    </row>
    <row r="7" spans="7:10" x14ac:dyDescent="0.25">
      <c r="G7" s="20" t="s">
        <v>27</v>
      </c>
      <c r="H7" s="21">
        <v>10</v>
      </c>
      <c r="I7" s="85">
        <f>AVERAGE(H7:H8)</f>
        <v>12</v>
      </c>
    </row>
    <row r="8" spans="7:10" x14ac:dyDescent="0.25">
      <c r="G8" s="20" t="s">
        <v>28</v>
      </c>
      <c r="H8" s="21">
        <v>14</v>
      </c>
      <c r="I8" s="85"/>
    </row>
  </sheetData>
  <mergeCells count="2">
    <mergeCell ref="G1:I4"/>
    <mergeCell ref="I7:I8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E1:Q31"/>
  <sheetViews>
    <sheetView showGridLines="0" zoomScaleNormal="100" workbookViewId="0"/>
  </sheetViews>
  <sheetFormatPr defaultRowHeight="15" x14ac:dyDescent="0.25"/>
  <cols>
    <col min="1" max="3" width="9.140625" style="1"/>
    <col min="4" max="5" width="9.28515625" style="1" customWidth="1"/>
    <col min="6" max="6" width="23.42578125" style="1" bestFit="1" customWidth="1"/>
    <col min="7" max="7" width="17.5703125" style="1" bestFit="1" customWidth="1"/>
    <col min="8" max="8" width="19.140625" style="1" bestFit="1" customWidth="1"/>
    <col min="9" max="9" width="22.140625" style="1" bestFit="1" customWidth="1"/>
    <col min="10" max="10" width="17.28515625" style="1" bestFit="1" customWidth="1"/>
    <col min="11" max="12" width="21" style="1" bestFit="1" customWidth="1"/>
    <col min="13" max="15" width="10.7109375" style="1" bestFit="1" customWidth="1"/>
    <col min="16" max="16" width="11.7109375" style="1" bestFit="1" customWidth="1"/>
    <col min="17" max="17" width="10.85546875" style="1" bestFit="1" customWidth="1"/>
    <col min="18" max="16384" width="9.140625" style="1"/>
  </cols>
  <sheetData>
    <row r="1" spans="6:12" ht="15" customHeight="1" x14ac:dyDescent="0.25">
      <c r="F1" s="83" t="s">
        <v>48</v>
      </c>
      <c r="G1" s="83"/>
      <c r="H1" s="83"/>
      <c r="I1" s="83"/>
      <c r="J1" s="83"/>
      <c r="K1" s="83"/>
      <c r="L1" s="83"/>
    </row>
    <row r="2" spans="6:12" ht="15" customHeight="1" x14ac:dyDescent="0.25">
      <c r="F2" s="83"/>
      <c r="G2" s="83"/>
      <c r="H2" s="83"/>
      <c r="I2" s="83"/>
      <c r="J2" s="83"/>
      <c r="K2" s="83"/>
      <c r="L2" s="83"/>
    </row>
    <row r="3" spans="6:12" x14ac:dyDescent="0.25">
      <c r="F3" s="83"/>
      <c r="G3" s="83"/>
      <c r="H3" s="83"/>
      <c r="I3" s="83"/>
      <c r="J3" s="83"/>
      <c r="K3" s="83"/>
      <c r="L3" s="83"/>
    </row>
    <row r="4" spans="6:12" ht="15" customHeight="1" x14ac:dyDescent="0.25">
      <c r="F4" s="83"/>
      <c r="G4" s="83"/>
      <c r="H4" s="83"/>
      <c r="I4" s="83"/>
      <c r="J4" s="83"/>
      <c r="K4" s="83"/>
      <c r="L4" s="83"/>
    </row>
    <row r="5" spans="6:12" ht="15" customHeight="1" x14ac:dyDescent="0.25"/>
    <row r="6" spans="6:12" x14ac:dyDescent="0.25">
      <c r="F6" s="86" t="s">
        <v>29</v>
      </c>
      <c r="G6" s="87"/>
      <c r="I6" s="25" t="s">
        <v>35</v>
      </c>
      <c r="J6" s="26">
        <v>0.25</v>
      </c>
    </row>
    <row r="7" spans="6:12" x14ac:dyDescent="0.25">
      <c r="F7" s="88"/>
      <c r="G7" s="89"/>
      <c r="I7" s="88"/>
      <c r="J7" s="89"/>
    </row>
    <row r="8" spans="6:12" x14ac:dyDescent="0.25">
      <c r="F8" s="7" t="s">
        <v>30</v>
      </c>
      <c r="G8" s="7" t="s">
        <v>2</v>
      </c>
      <c r="I8" s="7" t="s">
        <v>33</v>
      </c>
      <c r="J8" s="7" t="s">
        <v>34</v>
      </c>
    </row>
    <row r="9" spans="6:12" x14ac:dyDescent="0.25">
      <c r="F9" s="8">
        <v>250</v>
      </c>
      <c r="G9" s="8">
        <v>1</v>
      </c>
      <c r="I9" s="23">
        <f>G12</f>
        <v>15565</v>
      </c>
      <c r="J9" s="27">
        <v>1</v>
      </c>
    </row>
    <row r="10" spans="6:12" x14ac:dyDescent="0.25">
      <c r="F10" s="8" t="s">
        <v>31</v>
      </c>
      <c r="G10" s="8">
        <f>SISTEMA!I7</f>
        <v>62.26</v>
      </c>
      <c r="I10" s="8" t="s">
        <v>31</v>
      </c>
      <c r="J10" s="27">
        <f>J9-J6</f>
        <v>0.75</v>
      </c>
    </row>
    <row r="11" spans="6:12" x14ac:dyDescent="0.25">
      <c r="F11" s="8"/>
      <c r="G11" s="8"/>
      <c r="I11" s="8"/>
      <c r="J11" s="8"/>
    </row>
    <row r="12" spans="6:12" x14ac:dyDescent="0.25">
      <c r="F12" s="17" t="s">
        <v>32</v>
      </c>
      <c r="G12" s="30">
        <f>(F9*G10)/G9</f>
        <v>15565</v>
      </c>
      <c r="I12" s="32" t="s">
        <v>36</v>
      </c>
      <c r="J12" s="33">
        <f>(I9*J10)/J9</f>
        <v>11673.75</v>
      </c>
    </row>
    <row r="15" spans="6:12" x14ac:dyDescent="0.25">
      <c r="F15" s="31" t="s">
        <v>37</v>
      </c>
      <c r="G15" s="31" t="s">
        <v>38</v>
      </c>
      <c r="H15" s="31" t="s">
        <v>39</v>
      </c>
      <c r="I15" s="31" t="s">
        <v>40</v>
      </c>
      <c r="J15" s="31" t="s">
        <v>41</v>
      </c>
      <c r="K15" s="31" t="s">
        <v>42</v>
      </c>
    </row>
    <row r="16" spans="6:12" x14ac:dyDescent="0.25">
      <c r="F16" s="23">
        <f>G12</f>
        <v>15565</v>
      </c>
      <c r="G16" s="8">
        <v>1</v>
      </c>
      <c r="H16" s="24">
        <f>F16*(G16/1000)</f>
        <v>15.565</v>
      </c>
      <c r="I16" s="23">
        <f>J12</f>
        <v>11673.75</v>
      </c>
      <c r="J16" s="8">
        <f>METAS!G7*1000</f>
        <v>700</v>
      </c>
      <c r="K16" s="24">
        <f>I16*(J16/1000)</f>
        <v>8171.6249999999991</v>
      </c>
    </row>
    <row r="19" spans="5:17" x14ac:dyDescent="0.25">
      <c r="F19" s="31" t="s">
        <v>40</v>
      </c>
      <c r="G19" s="31" t="s">
        <v>9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</row>
    <row r="20" spans="5:17" x14ac:dyDescent="0.25">
      <c r="F20" s="23">
        <f>I16</f>
        <v>11673.75</v>
      </c>
      <c r="G20" s="8">
        <f>METAS!G7</f>
        <v>0.7</v>
      </c>
      <c r="H20" s="24">
        <f>F20*G20</f>
        <v>8171.6249999999991</v>
      </c>
      <c r="I20" s="28">
        <f>H20*PREÇO!I7</f>
        <v>98059.499999999985</v>
      </c>
      <c r="J20" s="28">
        <f>I20/12</f>
        <v>8171.6249999999991</v>
      </c>
      <c r="K20" s="29">
        <f>H20/G10</f>
        <v>131.25</v>
      </c>
      <c r="L20" s="29">
        <f>H20/METAS!F7</f>
        <v>89.79807692307692</v>
      </c>
    </row>
    <row r="25" spans="5:17" x14ac:dyDescent="0.25"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5:17" x14ac:dyDescent="0.25"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5:17" x14ac:dyDescent="0.25"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5:17" x14ac:dyDescent="0.25"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5:17" x14ac:dyDescent="0.25"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1" spans="5:17" x14ac:dyDescent="0.25">
      <c r="K31" s="3"/>
    </row>
  </sheetData>
  <mergeCells count="4">
    <mergeCell ref="F6:G6"/>
    <mergeCell ref="F7:G7"/>
    <mergeCell ref="I7:J7"/>
    <mergeCell ref="F1:L4"/>
  </mergeCells>
  <conditionalFormatting sqref="F25:Q29">
    <cfRule type="cellIs" dxfId="1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E1:R62"/>
  <sheetViews>
    <sheetView showGridLines="0" workbookViewId="0"/>
  </sheetViews>
  <sheetFormatPr defaultRowHeight="15" x14ac:dyDescent="0.25"/>
  <cols>
    <col min="4" max="4" width="9.28515625" customWidth="1"/>
    <col min="5" max="5" width="7.85546875" customWidth="1"/>
    <col min="6" max="6" width="11.28515625" bestFit="1" customWidth="1"/>
    <col min="7" max="7" width="14.5703125" bestFit="1" customWidth="1"/>
    <col min="8" max="8" width="27.42578125" bestFit="1" customWidth="1"/>
    <col min="9" max="9" width="14.5703125" bestFit="1" customWidth="1"/>
    <col min="10" max="10" width="16.85546875" bestFit="1" customWidth="1"/>
    <col min="11" max="11" width="17.28515625" bestFit="1" customWidth="1"/>
    <col min="12" max="12" width="14.42578125" customWidth="1"/>
    <col min="13" max="13" width="18" bestFit="1" customWidth="1"/>
    <col min="14" max="14" width="19.140625" bestFit="1" customWidth="1"/>
    <col min="15" max="16" width="19.85546875" bestFit="1" customWidth="1"/>
    <col min="17" max="17" width="10.85546875" bestFit="1" customWidth="1"/>
  </cols>
  <sheetData>
    <row r="1" spans="5:18" ht="15" customHeight="1" x14ac:dyDescent="0.25">
      <c r="E1" s="83" t="s">
        <v>49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34"/>
      <c r="Q1" s="34"/>
      <c r="R1" s="34"/>
    </row>
    <row r="2" spans="5:18" ht="15" customHeight="1" x14ac:dyDescent="0.25"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4"/>
      <c r="Q2" s="34"/>
      <c r="R2" s="34"/>
    </row>
    <row r="3" spans="5:18" ht="15" customHeight="1" x14ac:dyDescent="0.25"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4"/>
      <c r="Q3" s="34"/>
      <c r="R3" s="34"/>
    </row>
    <row r="4" spans="5:18" ht="15" customHeight="1" x14ac:dyDescent="0.25"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34"/>
      <c r="Q4" s="34"/>
      <c r="R4" s="34"/>
    </row>
    <row r="6" spans="5:18" x14ac:dyDescent="0.25">
      <c r="I6" s="102" t="s">
        <v>77</v>
      </c>
      <c r="J6" s="102"/>
      <c r="K6" s="102"/>
      <c r="L6" s="102"/>
    </row>
    <row r="7" spans="5:18" x14ac:dyDescent="0.25">
      <c r="I7" s="7" t="s">
        <v>73</v>
      </c>
      <c r="J7" s="7" t="s">
        <v>74</v>
      </c>
      <c r="K7" s="7" t="s">
        <v>75</v>
      </c>
      <c r="L7" s="7" t="s">
        <v>76</v>
      </c>
    </row>
    <row r="8" spans="5:18" x14ac:dyDescent="0.25">
      <c r="I8" s="40">
        <f>SUM(L11:L20)</f>
        <v>13732.189341750001</v>
      </c>
      <c r="J8" s="8">
        <f>'CAPACIDADE PRODUTIVA'!H20</f>
        <v>8171.6249999999991</v>
      </c>
      <c r="K8" s="8">
        <f>'CAPACIDADE PRODUTIVA'!H16</f>
        <v>15.565</v>
      </c>
      <c r="L8" s="41">
        <f>I8/(J8-K8)</f>
        <v>1.68367929389313</v>
      </c>
    </row>
    <row r="10" spans="5:18" x14ac:dyDescent="0.25">
      <c r="E10" s="39" t="s">
        <v>0</v>
      </c>
      <c r="F10" s="39" t="s">
        <v>50</v>
      </c>
      <c r="G10" s="39" t="s">
        <v>51</v>
      </c>
      <c r="H10" s="39" t="s">
        <v>4</v>
      </c>
      <c r="I10" s="39" t="s">
        <v>52</v>
      </c>
      <c r="J10" s="39" t="s">
        <v>53</v>
      </c>
      <c r="K10" s="39" t="s">
        <v>61</v>
      </c>
      <c r="L10" s="39" t="s">
        <v>54</v>
      </c>
      <c r="M10" s="39" t="s">
        <v>55</v>
      </c>
      <c r="N10" s="39" t="s">
        <v>56</v>
      </c>
      <c r="O10" s="39" t="s">
        <v>57</v>
      </c>
    </row>
    <row r="11" spans="5:18" x14ac:dyDescent="0.25">
      <c r="E11" s="8">
        <v>1</v>
      </c>
      <c r="F11" s="8">
        <v>0.2</v>
      </c>
      <c r="G11" s="8">
        <v>30</v>
      </c>
      <c r="H11" s="93" t="s">
        <v>58</v>
      </c>
      <c r="I11" s="90">
        <v>59</v>
      </c>
      <c r="J11" s="90">
        <f>I11/25</f>
        <v>2.36</v>
      </c>
      <c r="K11" s="36">
        <v>0.12</v>
      </c>
      <c r="L11" s="40">
        <f>O26</f>
        <v>230.80404600000006</v>
      </c>
      <c r="M11" s="28">
        <f>L11*J11</f>
        <v>544.69754856000009</v>
      </c>
      <c r="N11" s="42">
        <f t="shared" ref="N11:N20" si="0">ROUNDUP(L11/25,0)</f>
        <v>10</v>
      </c>
      <c r="O11" s="28">
        <f>N11*I11</f>
        <v>590</v>
      </c>
    </row>
    <row r="12" spans="5:18" x14ac:dyDescent="0.25">
      <c r="E12" s="8">
        <v>2</v>
      </c>
      <c r="F12" s="8">
        <v>0.5</v>
      </c>
      <c r="G12" s="8">
        <v>30</v>
      </c>
      <c r="H12" s="94"/>
      <c r="I12" s="91"/>
      <c r="J12" s="91"/>
      <c r="K12" s="36">
        <v>7.0000000000000007E-2</v>
      </c>
      <c r="L12" s="40">
        <f>O30</f>
        <v>471.49459087500009</v>
      </c>
      <c r="M12" s="28">
        <f>L12*J11</f>
        <v>1112.727234465</v>
      </c>
      <c r="N12" s="42">
        <f t="shared" si="0"/>
        <v>19</v>
      </c>
      <c r="O12" s="28">
        <f>N12*I11</f>
        <v>1121</v>
      </c>
    </row>
    <row r="13" spans="5:18" x14ac:dyDescent="0.25">
      <c r="E13" s="8">
        <v>3</v>
      </c>
      <c r="F13" s="8">
        <v>1</v>
      </c>
      <c r="G13" s="8">
        <v>30</v>
      </c>
      <c r="H13" s="95"/>
      <c r="I13" s="92"/>
      <c r="J13" s="92"/>
      <c r="K13" s="36">
        <v>0.05</v>
      </c>
      <c r="L13" s="40">
        <f>O34</f>
        <v>818.52832875000013</v>
      </c>
      <c r="M13" s="28">
        <f>L13*J11</f>
        <v>1931.7268558500002</v>
      </c>
      <c r="N13" s="42">
        <f t="shared" si="0"/>
        <v>33</v>
      </c>
      <c r="O13" s="28">
        <f>N13*I11</f>
        <v>1947</v>
      </c>
    </row>
    <row r="14" spans="5:18" x14ac:dyDescent="0.25">
      <c r="E14" s="8">
        <v>4</v>
      </c>
      <c r="F14" s="8">
        <v>1.5</v>
      </c>
      <c r="G14" s="8">
        <v>30</v>
      </c>
      <c r="H14" s="104" t="s">
        <v>59</v>
      </c>
      <c r="I14" s="90">
        <v>52</v>
      </c>
      <c r="J14" s="90">
        <f>I14/25</f>
        <v>2.08</v>
      </c>
      <c r="K14" s="36">
        <v>0.04</v>
      </c>
      <c r="L14" s="40">
        <f>O38</f>
        <v>1241.2885154999999</v>
      </c>
      <c r="M14" s="28">
        <f>L14*J14</f>
        <v>2581.88011224</v>
      </c>
      <c r="N14" s="42">
        <f t="shared" si="0"/>
        <v>50</v>
      </c>
      <c r="O14" s="28">
        <f>N14*I14</f>
        <v>2600</v>
      </c>
    </row>
    <row r="15" spans="5:18" x14ac:dyDescent="0.25">
      <c r="E15" s="8">
        <v>5</v>
      </c>
      <c r="F15" s="8">
        <v>2</v>
      </c>
      <c r="G15" s="8">
        <v>30</v>
      </c>
      <c r="H15" s="105"/>
      <c r="I15" s="91"/>
      <c r="J15" s="91"/>
      <c r="K15" s="37">
        <v>3.5000000000000003E-2</v>
      </c>
      <c r="L15" s="40">
        <f>O42</f>
        <v>1774.8769499999999</v>
      </c>
      <c r="M15" s="28">
        <f>L15*J14</f>
        <v>3691.744056</v>
      </c>
      <c r="N15" s="42">
        <f t="shared" si="0"/>
        <v>71</v>
      </c>
      <c r="O15" s="28">
        <f>N15*I14</f>
        <v>3692</v>
      </c>
    </row>
    <row r="16" spans="5:18" x14ac:dyDescent="0.25">
      <c r="E16" s="8">
        <v>6</v>
      </c>
      <c r="F16" s="8">
        <v>2.5</v>
      </c>
      <c r="G16" s="8">
        <v>30</v>
      </c>
      <c r="H16" s="106"/>
      <c r="I16" s="92"/>
      <c r="J16" s="92"/>
      <c r="K16" s="37">
        <v>2.5000000000000001E-2</v>
      </c>
      <c r="L16" s="40">
        <f>O46</f>
        <v>1940.1772500000002</v>
      </c>
      <c r="M16" s="28">
        <f>L16*J14</f>
        <v>4035.5686800000003</v>
      </c>
      <c r="N16" s="42">
        <f t="shared" si="0"/>
        <v>78</v>
      </c>
      <c r="O16" s="28">
        <f>N16*I14</f>
        <v>4056</v>
      </c>
    </row>
    <row r="17" spans="5:16" x14ac:dyDescent="0.25">
      <c r="E17" s="8">
        <v>7</v>
      </c>
      <c r="F17" s="8">
        <v>3</v>
      </c>
      <c r="G17" s="8">
        <v>30</v>
      </c>
      <c r="H17" s="104" t="s">
        <v>60</v>
      </c>
      <c r="I17" s="90">
        <v>49</v>
      </c>
      <c r="J17" s="90">
        <f>I17/25</f>
        <v>1.96</v>
      </c>
      <c r="K17" s="37">
        <v>1.4999999999999999E-2</v>
      </c>
      <c r="L17" s="40">
        <f>O50</f>
        <v>1656.8553375000001</v>
      </c>
      <c r="M17" s="28">
        <f>L17*J17</f>
        <v>3247.4364615000004</v>
      </c>
      <c r="N17" s="42">
        <f t="shared" si="0"/>
        <v>67</v>
      </c>
      <c r="O17" s="28">
        <f>N17*I17</f>
        <v>3283</v>
      </c>
    </row>
    <row r="18" spans="5:16" x14ac:dyDescent="0.25">
      <c r="E18" s="8">
        <v>8</v>
      </c>
      <c r="F18" s="8">
        <v>4</v>
      </c>
      <c r="G18" s="8">
        <v>30</v>
      </c>
      <c r="H18" s="105"/>
      <c r="I18" s="91"/>
      <c r="J18" s="91"/>
      <c r="K18" s="37">
        <v>1.4999999999999999E-2</v>
      </c>
      <c r="L18" s="40">
        <f>O54</f>
        <v>2285.1365624999999</v>
      </c>
      <c r="M18" s="28">
        <f>L18*J17</f>
        <v>4478.8676624999998</v>
      </c>
      <c r="N18" s="42">
        <f t="shared" si="0"/>
        <v>92</v>
      </c>
      <c r="O18" s="28">
        <f>N18*I17</f>
        <v>4508</v>
      </c>
      <c r="P18" s="16"/>
    </row>
    <row r="19" spans="5:16" x14ac:dyDescent="0.25">
      <c r="E19" s="8">
        <v>9</v>
      </c>
      <c r="F19" s="8">
        <v>5</v>
      </c>
      <c r="G19" s="8">
        <v>30</v>
      </c>
      <c r="H19" s="105"/>
      <c r="I19" s="91"/>
      <c r="J19" s="91"/>
      <c r="K19" s="38">
        <v>1.2500000000000001E-2</v>
      </c>
      <c r="L19" s="40">
        <f>O58</f>
        <v>2576.6884687500001</v>
      </c>
      <c r="M19" s="28">
        <f>L19*J17</f>
        <v>5050.3093987499997</v>
      </c>
      <c r="N19" s="42">
        <f t="shared" si="0"/>
        <v>104</v>
      </c>
      <c r="O19" s="28">
        <f>N19*I17</f>
        <v>5096</v>
      </c>
    </row>
    <row r="20" spans="5:16" x14ac:dyDescent="0.25">
      <c r="E20" s="8">
        <v>10</v>
      </c>
      <c r="F20" s="8">
        <v>5.5</v>
      </c>
      <c r="G20" s="8">
        <v>20</v>
      </c>
      <c r="H20" s="106"/>
      <c r="I20" s="92"/>
      <c r="J20" s="92"/>
      <c r="K20" s="36">
        <v>0.01</v>
      </c>
      <c r="L20" s="40">
        <f>O62</f>
        <v>736.33929187500007</v>
      </c>
      <c r="M20" s="28">
        <f>L20*J17</f>
        <v>1443.2250120750002</v>
      </c>
      <c r="N20" s="42">
        <f t="shared" si="0"/>
        <v>30</v>
      </c>
      <c r="O20" s="28">
        <f>N20*I17</f>
        <v>1470</v>
      </c>
    </row>
    <row r="21" spans="5:16" x14ac:dyDescent="0.25">
      <c r="K21" s="35" t="s">
        <v>62</v>
      </c>
      <c r="M21" s="2" t="s">
        <v>3</v>
      </c>
      <c r="N21" s="65">
        <f>SUM(N11:N20)</f>
        <v>554</v>
      </c>
      <c r="O21" s="66">
        <f>SUM(O11:O20)</f>
        <v>28363</v>
      </c>
    </row>
    <row r="22" spans="5:16" x14ac:dyDescent="0.25"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5:16" x14ac:dyDescent="0.25">
      <c r="E23" s="103" t="s">
        <v>63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5:16" ht="15.75" thickBot="1" x14ac:dyDescent="0.3"/>
    <row r="25" spans="5:16" ht="15.75" thickBot="1" x14ac:dyDescent="0.3">
      <c r="E25" s="67" t="s">
        <v>0</v>
      </c>
      <c r="F25" s="68" t="s">
        <v>72</v>
      </c>
      <c r="G25" s="68" t="s">
        <v>64</v>
      </c>
      <c r="H25" s="68" t="s">
        <v>65</v>
      </c>
      <c r="I25" s="68" t="s">
        <v>66</v>
      </c>
      <c r="J25" s="68" t="s">
        <v>69</v>
      </c>
      <c r="K25" s="68" t="s">
        <v>67</v>
      </c>
      <c r="L25" s="68" t="s">
        <v>68</v>
      </c>
      <c r="M25" s="68" t="s">
        <v>70</v>
      </c>
      <c r="N25" s="68" t="s">
        <v>71</v>
      </c>
      <c r="O25" s="69" t="s">
        <v>54</v>
      </c>
    </row>
    <row r="26" spans="5:16" x14ac:dyDescent="0.25">
      <c r="E26" s="99">
        <v>1</v>
      </c>
      <c r="F26" s="48">
        <v>7</v>
      </c>
      <c r="G26" s="48">
        <v>1</v>
      </c>
      <c r="H26" s="49">
        <f>G26+(F26*F11)</f>
        <v>2.4000000000000004</v>
      </c>
      <c r="I26" s="48">
        <f t="shared" ref="I26:I62" si="1">MEDIAN(G26:H26)</f>
        <v>1.7000000000000002</v>
      </c>
      <c r="J26" s="49">
        <f>I26*$K$11</f>
        <v>0.20400000000000001</v>
      </c>
      <c r="K26" s="50">
        <f>'[1]Capacidade Produtiva'!$F$6</f>
        <v>15565</v>
      </c>
      <c r="L26" s="51">
        <f>K26*(I26/1000)</f>
        <v>26.460500000000003</v>
      </c>
      <c r="M26" s="70">
        <f>L26*$K$11</f>
        <v>3.1752600000000002</v>
      </c>
      <c r="N26" s="52">
        <f>M26*F26</f>
        <v>22.22682</v>
      </c>
      <c r="O26" s="96">
        <f>SUM(N26:N29)</f>
        <v>230.80404600000006</v>
      </c>
    </row>
    <row r="27" spans="5:16" x14ac:dyDescent="0.25">
      <c r="E27" s="100"/>
      <c r="F27" s="43">
        <v>7</v>
      </c>
      <c r="G27" s="44">
        <f>H26+F11</f>
        <v>2.6000000000000005</v>
      </c>
      <c r="H27" s="44">
        <f>G27+(F11*F27)</f>
        <v>4.0000000000000009</v>
      </c>
      <c r="I27" s="43">
        <f t="shared" si="1"/>
        <v>3.3000000000000007</v>
      </c>
      <c r="J27" s="44">
        <f>I27*$K$11</f>
        <v>0.39600000000000007</v>
      </c>
      <c r="K27" s="45">
        <f>'[1]Capacidade Produtiva'!$F$6</f>
        <v>15565</v>
      </c>
      <c r="L27" s="46">
        <f>K27*(I27/1000)</f>
        <v>51.364500000000014</v>
      </c>
      <c r="M27" s="71">
        <f>L27*$K$11</f>
        <v>6.1637400000000016</v>
      </c>
      <c r="N27" s="47">
        <f>M27*F27</f>
        <v>43.146180000000008</v>
      </c>
      <c r="O27" s="97"/>
    </row>
    <row r="28" spans="5:16" x14ac:dyDescent="0.25">
      <c r="E28" s="100"/>
      <c r="F28" s="43">
        <v>7</v>
      </c>
      <c r="G28" s="44">
        <f>H27+F11</f>
        <v>4.2000000000000011</v>
      </c>
      <c r="H28" s="44">
        <f>G28+(F28*F11)</f>
        <v>5.6000000000000014</v>
      </c>
      <c r="I28" s="43">
        <f t="shared" si="1"/>
        <v>4.9000000000000012</v>
      </c>
      <c r="J28" s="44">
        <f>I28*$K$11</f>
        <v>0.58800000000000008</v>
      </c>
      <c r="K28" s="45">
        <f>'[1]Capacidade Produtiva'!$F$6</f>
        <v>15565</v>
      </c>
      <c r="L28" s="46">
        <f>K28*(I28/1000)</f>
        <v>76.268500000000031</v>
      </c>
      <c r="M28" s="71">
        <f>L28*$K$11</f>
        <v>9.1522200000000034</v>
      </c>
      <c r="N28" s="47">
        <f>M28*F28</f>
        <v>64.065540000000027</v>
      </c>
      <c r="O28" s="97"/>
    </row>
    <row r="29" spans="5:16" ht="15.75" thickBot="1" x14ac:dyDescent="0.3">
      <c r="E29" s="101"/>
      <c r="F29" s="53">
        <v>9</v>
      </c>
      <c r="G29" s="54">
        <f>H28+F11</f>
        <v>5.8000000000000016</v>
      </c>
      <c r="H29" s="54">
        <f>G29+(F29*F11)</f>
        <v>7.6000000000000014</v>
      </c>
      <c r="I29" s="55">
        <f t="shared" si="1"/>
        <v>6.7000000000000011</v>
      </c>
      <c r="J29" s="54">
        <f>I29*$K$11</f>
        <v>0.80400000000000005</v>
      </c>
      <c r="K29" s="56">
        <f>(K26*90%)/100%</f>
        <v>14008.5</v>
      </c>
      <c r="L29" s="57">
        <f>K29*(I29/1000)</f>
        <v>93.856950000000012</v>
      </c>
      <c r="M29" s="72">
        <f>L29*$K$11</f>
        <v>11.262834000000002</v>
      </c>
      <c r="N29" s="58">
        <f>M29*F29</f>
        <v>101.36550600000001</v>
      </c>
      <c r="O29" s="98"/>
    </row>
    <row r="30" spans="5:16" x14ac:dyDescent="0.25">
      <c r="E30" s="99">
        <v>2</v>
      </c>
      <c r="F30" s="48">
        <v>7</v>
      </c>
      <c r="G30" s="49">
        <f>H29+F12</f>
        <v>8.1000000000000014</v>
      </c>
      <c r="H30" s="48">
        <f>G30+(F30*$F$12)</f>
        <v>11.600000000000001</v>
      </c>
      <c r="I30" s="48">
        <f t="shared" si="1"/>
        <v>9.8500000000000014</v>
      </c>
      <c r="J30" s="49">
        <f>I30*$K$12</f>
        <v>0.68950000000000011</v>
      </c>
      <c r="K30" s="50">
        <f>K29</f>
        <v>14008.5</v>
      </c>
      <c r="L30" s="51">
        <f t="shared" ref="L30:L62" si="2">K30*(I30/1000)</f>
        <v>137.98372500000002</v>
      </c>
      <c r="M30" s="73">
        <f>L30*$K$12</f>
        <v>9.6588607500000023</v>
      </c>
      <c r="N30" s="49">
        <f t="shared" ref="N30:N62" si="3">M30*F30</f>
        <v>67.612025250000016</v>
      </c>
      <c r="O30" s="96">
        <f>SUM(N30:N33)</f>
        <v>471.49459087500009</v>
      </c>
    </row>
    <row r="31" spans="5:16" x14ac:dyDescent="0.25">
      <c r="E31" s="100"/>
      <c r="F31" s="43">
        <v>7</v>
      </c>
      <c r="G31" s="43">
        <f>H30+$F$12</f>
        <v>12.100000000000001</v>
      </c>
      <c r="H31" s="43">
        <f>G31+(F31*$F$12)</f>
        <v>15.600000000000001</v>
      </c>
      <c r="I31" s="43">
        <f t="shared" si="1"/>
        <v>13.850000000000001</v>
      </c>
      <c r="J31" s="44">
        <f>I31*$K$12</f>
        <v>0.96950000000000014</v>
      </c>
      <c r="K31" s="45">
        <f>K30</f>
        <v>14008.5</v>
      </c>
      <c r="L31" s="46">
        <f t="shared" si="2"/>
        <v>194.01772500000001</v>
      </c>
      <c r="M31" s="74">
        <f>L31*$K$12</f>
        <v>13.581240750000003</v>
      </c>
      <c r="N31" s="44">
        <f t="shared" si="3"/>
        <v>95.068685250000016</v>
      </c>
      <c r="O31" s="97"/>
    </row>
    <row r="32" spans="5:16" x14ac:dyDescent="0.25">
      <c r="E32" s="100"/>
      <c r="F32" s="43">
        <v>7</v>
      </c>
      <c r="G32" s="43">
        <f>H31+$F$12</f>
        <v>16.100000000000001</v>
      </c>
      <c r="H32" s="43">
        <f>G32+(F32*$F$12)</f>
        <v>19.600000000000001</v>
      </c>
      <c r="I32" s="43">
        <f t="shared" si="1"/>
        <v>17.850000000000001</v>
      </c>
      <c r="J32" s="44">
        <f>I32*$K$12</f>
        <v>1.2495000000000003</v>
      </c>
      <c r="K32" s="45">
        <f>K31</f>
        <v>14008.5</v>
      </c>
      <c r="L32" s="46">
        <f t="shared" si="2"/>
        <v>250.051725</v>
      </c>
      <c r="M32" s="74">
        <f>L32*$K$12</f>
        <v>17.503620750000003</v>
      </c>
      <c r="N32" s="44">
        <f t="shared" si="3"/>
        <v>122.52534525000002</v>
      </c>
      <c r="O32" s="97"/>
    </row>
    <row r="33" spans="5:15" ht="15.75" thickBot="1" x14ac:dyDescent="0.3">
      <c r="E33" s="101"/>
      <c r="F33" s="53">
        <v>9</v>
      </c>
      <c r="G33" s="53">
        <f>H32+$F$12</f>
        <v>20.100000000000001</v>
      </c>
      <c r="H33" s="53">
        <f>G33+(F33*$F$12)</f>
        <v>24.6</v>
      </c>
      <c r="I33" s="53">
        <f t="shared" si="1"/>
        <v>22.35</v>
      </c>
      <c r="J33" s="54">
        <f>I33*$K$12</f>
        <v>1.5645000000000002</v>
      </c>
      <c r="K33" s="56">
        <f>(K26*85%)/100%</f>
        <v>13230.25</v>
      </c>
      <c r="L33" s="57">
        <f t="shared" si="2"/>
        <v>295.69608750000003</v>
      </c>
      <c r="M33" s="75">
        <f>L33*$K$12</f>
        <v>20.698726125000004</v>
      </c>
      <c r="N33" s="54">
        <f t="shared" si="3"/>
        <v>186.28853512500004</v>
      </c>
      <c r="O33" s="98"/>
    </row>
    <row r="34" spans="5:15" x14ac:dyDescent="0.25">
      <c r="E34" s="99">
        <v>3</v>
      </c>
      <c r="F34" s="48">
        <v>7</v>
      </c>
      <c r="G34" s="48">
        <f>H33+$F$13</f>
        <v>25.6</v>
      </c>
      <c r="H34" s="48">
        <f>G34+(F34*$F$13)</f>
        <v>32.6</v>
      </c>
      <c r="I34" s="48">
        <f t="shared" si="1"/>
        <v>29.1</v>
      </c>
      <c r="J34" s="49">
        <f>I34*$K$13</f>
        <v>1.4550000000000001</v>
      </c>
      <c r="K34" s="50">
        <f>K33</f>
        <v>13230.25</v>
      </c>
      <c r="L34" s="51">
        <f t="shared" si="2"/>
        <v>385.00027499999999</v>
      </c>
      <c r="M34" s="73">
        <f>L34*$K$13</f>
        <v>19.250013750000001</v>
      </c>
      <c r="N34" s="49">
        <f t="shared" si="3"/>
        <v>134.75009625000001</v>
      </c>
      <c r="O34" s="96">
        <f>SUM(N34:N37)</f>
        <v>818.52832875000013</v>
      </c>
    </row>
    <row r="35" spans="5:15" x14ac:dyDescent="0.25">
      <c r="E35" s="100"/>
      <c r="F35" s="43">
        <v>7</v>
      </c>
      <c r="G35" s="43">
        <f>H34+$F$13</f>
        <v>33.6</v>
      </c>
      <c r="H35" s="43">
        <f>G35+(F35*$F$13)</f>
        <v>40.6</v>
      </c>
      <c r="I35" s="43">
        <f t="shared" si="1"/>
        <v>37.1</v>
      </c>
      <c r="J35" s="44">
        <f>I35*$K$13</f>
        <v>1.8550000000000002</v>
      </c>
      <c r="K35" s="45">
        <f>K34</f>
        <v>13230.25</v>
      </c>
      <c r="L35" s="46">
        <f t="shared" si="2"/>
        <v>490.84227500000003</v>
      </c>
      <c r="M35" s="74">
        <f>L35*$K$13</f>
        <v>24.542113750000002</v>
      </c>
      <c r="N35" s="44">
        <f t="shared" si="3"/>
        <v>171.79479625000002</v>
      </c>
      <c r="O35" s="97"/>
    </row>
    <row r="36" spans="5:15" x14ac:dyDescent="0.25">
      <c r="E36" s="100"/>
      <c r="F36" s="43">
        <v>7</v>
      </c>
      <c r="G36" s="43">
        <f>H35+$F$13</f>
        <v>41.6</v>
      </c>
      <c r="H36" s="43">
        <f>G36+(F36*$F$13)</f>
        <v>48.6</v>
      </c>
      <c r="I36" s="43">
        <f t="shared" si="1"/>
        <v>45.1</v>
      </c>
      <c r="J36" s="44">
        <f>I36*$K$13</f>
        <v>2.2550000000000003</v>
      </c>
      <c r="K36" s="45">
        <f>K35</f>
        <v>13230.25</v>
      </c>
      <c r="L36" s="46">
        <f t="shared" si="2"/>
        <v>596.68427500000007</v>
      </c>
      <c r="M36" s="74">
        <f>L36*$K$13</f>
        <v>29.834213750000004</v>
      </c>
      <c r="N36" s="44">
        <f t="shared" si="3"/>
        <v>208.83949625000002</v>
      </c>
      <c r="O36" s="97"/>
    </row>
    <row r="37" spans="5:15" ht="15.75" thickBot="1" x14ac:dyDescent="0.3">
      <c r="E37" s="101"/>
      <c r="F37" s="53">
        <v>9</v>
      </c>
      <c r="G37" s="53">
        <f>H36+$F$13</f>
        <v>49.6</v>
      </c>
      <c r="H37" s="53">
        <f>G37+(F37*$F$13)</f>
        <v>58.6</v>
      </c>
      <c r="I37" s="53">
        <f t="shared" si="1"/>
        <v>54.1</v>
      </c>
      <c r="J37" s="54">
        <f>I37*$K$13</f>
        <v>2.7050000000000001</v>
      </c>
      <c r="K37" s="56">
        <f>(K26*80%)/100%</f>
        <v>12452</v>
      </c>
      <c r="L37" s="57">
        <f t="shared" si="2"/>
        <v>673.65320000000008</v>
      </c>
      <c r="M37" s="75">
        <f>L37*$K$13</f>
        <v>33.682660000000006</v>
      </c>
      <c r="N37" s="54">
        <f t="shared" si="3"/>
        <v>303.14394000000004</v>
      </c>
      <c r="O37" s="98"/>
    </row>
    <row r="38" spans="5:15" x14ac:dyDescent="0.25">
      <c r="E38" s="99">
        <v>4</v>
      </c>
      <c r="F38" s="48">
        <v>7</v>
      </c>
      <c r="G38" s="48">
        <f>H37+$F$14</f>
        <v>60.1</v>
      </c>
      <c r="H38" s="48">
        <f>G38+(F38*$F$14)</f>
        <v>70.599999999999994</v>
      </c>
      <c r="I38" s="48">
        <f t="shared" si="1"/>
        <v>65.349999999999994</v>
      </c>
      <c r="J38" s="49">
        <f>I38*$K$14</f>
        <v>2.6139999999999999</v>
      </c>
      <c r="K38" s="50">
        <f>K37</f>
        <v>12452</v>
      </c>
      <c r="L38" s="51">
        <f t="shared" si="2"/>
        <v>813.73819999999989</v>
      </c>
      <c r="M38" s="73">
        <f>L38*$K$14</f>
        <v>32.549527999999995</v>
      </c>
      <c r="N38" s="49">
        <f t="shared" si="3"/>
        <v>227.84669599999995</v>
      </c>
      <c r="O38" s="96">
        <f>SUM(N38:N41)</f>
        <v>1241.2885154999999</v>
      </c>
    </row>
    <row r="39" spans="5:15" x14ac:dyDescent="0.25">
      <c r="E39" s="100"/>
      <c r="F39" s="43">
        <v>7</v>
      </c>
      <c r="G39" s="43">
        <f>H38+$F$14</f>
        <v>72.099999999999994</v>
      </c>
      <c r="H39" s="43">
        <f>G39+(F39*$F$14)</f>
        <v>82.6</v>
      </c>
      <c r="I39" s="43">
        <f t="shared" si="1"/>
        <v>77.349999999999994</v>
      </c>
      <c r="J39" s="44">
        <f>I39*$K$14</f>
        <v>3.0939999999999999</v>
      </c>
      <c r="K39" s="45">
        <f>K38</f>
        <v>12452</v>
      </c>
      <c r="L39" s="46">
        <f t="shared" si="2"/>
        <v>963.16219999999987</v>
      </c>
      <c r="M39" s="74">
        <f>L39*$K$14</f>
        <v>38.526487999999993</v>
      </c>
      <c r="N39" s="44">
        <f t="shared" si="3"/>
        <v>269.68541599999998</v>
      </c>
      <c r="O39" s="97"/>
    </row>
    <row r="40" spans="5:15" x14ac:dyDescent="0.25">
      <c r="E40" s="100"/>
      <c r="F40" s="43">
        <v>7</v>
      </c>
      <c r="G40" s="43">
        <f>H39+$F$14</f>
        <v>84.1</v>
      </c>
      <c r="H40" s="43">
        <f>G40+(F40*$F$14)</f>
        <v>94.6</v>
      </c>
      <c r="I40" s="43">
        <f t="shared" si="1"/>
        <v>89.35</v>
      </c>
      <c r="J40" s="44">
        <f>I40*$K$14</f>
        <v>3.5739999999999998</v>
      </c>
      <c r="K40" s="45">
        <f>K39</f>
        <v>12452</v>
      </c>
      <c r="L40" s="46">
        <f t="shared" si="2"/>
        <v>1112.5862</v>
      </c>
      <c r="M40" s="74">
        <f>L40*$K$14</f>
        <v>44.503447999999999</v>
      </c>
      <c r="N40" s="44">
        <f t="shared" si="3"/>
        <v>311.524136</v>
      </c>
      <c r="O40" s="97"/>
    </row>
    <row r="41" spans="5:15" ht="15.75" thickBot="1" x14ac:dyDescent="0.3">
      <c r="E41" s="101"/>
      <c r="F41" s="53">
        <v>9</v>
      </c>
      <c r="G41" s="53">
        <f>H40+$F$14</f>
        <v>96.1</v>
      </c>
      <c r="H41" s="53">
        <f>G41+(F41*$F$14)</f>
        <v>109.6</v>
      </c>
      <c r="I41" s="53">
        <f t="shared" si="1"/>
        <v>102.85</v>
      </c>
      <c r="J41" s="54">
        <f>I41*$K$14</f>
        <v>4.1139999999999999</v>
      </c>
      <c r="K41" s="56">
        <f t="shared" ref="K41:K62" si="4">$K$26*75%/100%</f>
        <v>11673.75</v>
      </c>
      <c r="L41" s="57">
        <f t="shared" si="2"/>
        <v>1200.6451875</v>
      </c>
      <c r="M41" s="75">
        <f>L41*$K$14</f>
        <v>48.025807499999999</v>
      </c>
      <c r="N41" s="54">
        <f t="shared" si="3"/>
        <v>432.23226749999998</v>
      </c>
      <c r="O41" s="98"/>
    </row>
    <row r="42" spans="5:15" x14ac:dyDescent="0.25">
      <c r="E42" s="99">
        <v>5</v>
      </c>
      <c r="F42" s="48">
        <v>7</v>
      </c>
      <c r="G42" s="48">
        <f>H41+$F$15</f>
        <v>111.6</v>
      </c>
      <c r="H42" s="48">
        <f>G42+(F42*$F$15)</f>
        <v>125.6</v>
      </c>
      <c r="I42" s="48">
        <f t="shared" si="1"/>
        <v>118.6</v>
      </c>
      <c r="J42" s="49">
        <f>I42*$K$15</f>
        <v>4.1509999999999998</v>
      </c>
      <c r="K42" s="50">
        <f t="shared" si="4"/>
        <v>11673.75</v>
      </c>
      <c r="L42" s="51">
        <f t="shared" ref="L42:L49" si="5">K42*(I42/1000)</f>
        <v>1384.50675</v>
      </c>
      <c r="M42" s="73">
        <f>L42*$K$15</f>
        <v>48.457736250000004</v>
      </c>
      <c r="N42" s="49">
        <f t="shared" si="3"/>
        <v>339.20415375000005</v>
      </c>
      <c r="O42" s="96">
        <f>SUM(N42:N45)</f>
        <v>1774.8769499999999</v>
      </c>
    </row>
    <row r="43" spans="5:15" x14ac:dyDescent="0.25">
      <c r="E43" s="100"/>
      <c r="F43" s="43">
        <v>7</v>
      </c>
      <c r="G43" s="43">
        <f>H42+$F$15</f>
        <v>127.6</v>
      </c>
      <c r="H43" s="43">
        <f>G43+(F43*$F$15)</f>
        <v>141.6</v>
      </c>
      <c r="I43" s="43">
        <f t="shared" si="1"/>
        <v>134.6</v>
      </c>
      <c r="J43" s="44">
        <f>I43*$K$15</f>
        <v>4.7110000000000003</v>
      </c>
      <c r="K43" s="45">
        <f t="shared" si="4"/>
        <v>11673.75</v>
      </c>
      <c r="L43" s="46">
        <f t="shared" si="5"/>
        <v>1571.28675</v>
      </c>
      <c r="M43" s="74">
        <f>L43*$K$15</f>
        <v>54.995036250000005</v>
      </c>
      <c r="N43" s="44">
        <f t="shared" si="3"/>
        <v>384.96525375000004</v>
      </c>
      <c r="O43" s="97"/>
    </row>
    <row r="44" spans="5:15" x14ac:dyDescent="0.25">
      <c r="E44" s="100"/>
      <c r="F44" s="43">
        <v>7</v>
      </c>
      <c r="G44" s="43">
        <f>H43+$F$15</f>
        <v>143.6</v>
      </c>
      <c r="H44" s="43">
        <f>G44+(F44*$F$15)</f>
        <v>157.6</v>
      </c>
      <c r="I44" s="43">
        <f t="shared" si="1"/>
        <v>150.6</v>
      </c>
      <c r="J44" s="44">
        <f>I44*$K$15</f>
        <v>5.2709999999999999</v>
      </c>
      <c r="K44" s="45">
        <f t="shared" si="4"/>
        <v>11673.75</v>
      </c>
      <c r="L44" s="46">
        <f t="shared" si="5"/>
        <v>1758.0667499999997</v>
      </c>
      <c r="M44" s="74">
        <f>L44*$K$15</f>
        <v>61.532336249999993</v>
      </c>
      <c r="N44" s="44">
        <f t="shared" si="3"/>
        <v>430.72635374999993</v>
      </c>
      <c r="O44" s="97"/>
    </row>
    <row r="45" spans="5:15" ht="15.75" thickBot="1" x14ac:dyDescent="0.3">
      <c r="E45" s="101"/>
      <c r="F45" s="53">
        <v>9</v>
      </c>
      <c r="G45" s="53">
        <f>H44+$F$15</f>
        <v>159.6</v>
      </c>
      <c r="H45" s="53">
        <f>G45+(F45*$F$15)</f>
        <v>177.6</v>
      </c>
      <c r="I45" s="53">
        <f t="shared" si="1"/>
        <v>168.6</v>
      </c>
      <c r="J45" s="54">
        <f>I45*$K$15</f>
        <v>5.9010000000000007</v>
      </c>
      <c r="K45" s="56">
        <f t="shared" si="4"/>
        <v>11673.75</v>
      </c>
      <c r="L45" s="57">
        <f t="shared" si="5"/>
        <v>1968.19425</v>
      </c>
      <c r="M45" s="75">
        <f>L45*$K$15</f>
        <v>68.886798750000011</v>
      </c>
      <c r="N45" s="54">
        <f t="shared" si="3"/>
        <v>619.98118875000011</v>
      </c>
      <c r="O45" s="98"/>
    </row>
    <row r="46" spans="5:15" x14ac:dyDescent="0.25">
      <c r="E46" s="99">
        <v>6</v>
      </c>
      <c r="F46" s="48">
        <v>7</v>
      </c>
      <c r="G46" s="48">
        <f>H45+$F$16</f>
        <v>180.1</v>
      </c>
      <c r="H46" s="48">
        <f>G46+(F46*$F$16)</f>
        <v>197.6</v>
      </c>
      <c r="I46" s="48">
        <f t="shared" si="1"/>
        <v>188.85</v>
      </c>
      <c r="J46" s="49">
        <f>I46*$K$16</f>
        <v>4.7212500000000004</v>
      </c>
      <c r="K46" s="50">
        <f t="shared" si="4"/>
        <v>11673.75</v>
      </c>
      <c r="L46" s="51">
        <f t="shared" si="5"/>
        <v>2204.5876874999999</v>
      </c>
      <c r="M46" s="73">
        <f>L46*$K$16</f>
        <v>55.114692187499998</v>
      </c>
      <c r="N46" s="49">
        <f>M46*F46</f>
        <v>385.80284531249998</v>
      </c>
      <c r="O46" s="96">
        <f>SUM(N46:N49)</f>
        <v>1940.1772500000002</v>
      </c>
    </row>
    <row r="47" spans="5:15" x14ac:dyDescent="0.25">
      <c r="E47" s="100"/>
      <c r="F47" s="43">
        <v>7</v>
      </c>
      <c r="G47" s="43">
        <f>H46+$F$16</f>
        <v>200.1</v>
      </c>
      <c r="H47" s="43">
        <f>G47+(F47*$F$16)</f>
        <v>217.6</v>
      </c>
      <c r="I47" s="43">
        <f t="shared" si="1"/>
        <v>208.85</v>
      </c>
      <c r="J47" s="44">
        <f>I47*$K$16</f>
        <v>5.2212500000000004</v>
      </c>
      <c r="K47" s="45">
        <f t="shared" si="4"/>
        <v>11673.75</v>
      </c>
      <c r="L47" s="46">
        <f t="shared" si="5"/>
        <v>2438.0626875000003</v>
      </c>
      <c r="M47" s="74">
        <f>L47*$K$16</f>
        <v>60.951567187500011</v>
      </c>
      <c r="N47" s="44">
        <f>M47*F47</f>
        <v>426.66097031250007</v>
      </c>
      <c r="O47" s="97"/>
    </row>
    <row r="48" spans="5:15" x14ac:dyDescent="0.25">
      <c r="E48" s="100"/>
      <c r="F48" s="43">
        <v>7</v>
      </c>
      <c r="G48" s="43">
        <f>H47+$F$16</f>
        <v>220.1</v>
      </c>
      <c r="H48" s="43">
        <f>G48+(F48*$F$16)</f>
        <v>237.6</v>
      </c>
      <c r="I48" s="43">
        <f t="shared" si="1"/>
        <v>228.85</v>
      </c>
      <c r="J48" s="44">
        <f>I48*$K$16</f>
        <v>5.7212500000000004</v>
      </c>
      <c r="K48" s="45">
        <f t="shared" si="4"/>
        <v>11673.75</v>
      </c>
      <c r="L48" s="46">
        <f t="shared" si="5"/>
        <v>2671.5376875000002</v>
      </c>
      <c r="M48" s="74">
        <f>L48*$K$16</f>
        <v>66.78844218750001</v>
      </c>
      <c r="N48" s="44">
        <f>M48*F48</f>
        <v>467.5190953125001</v>
      </c>
      <c r="O48" s="97"/>
    </row>
    <row r="49" spans="5:15" ht="15.75" thickBot="1" x14ac:dyDescent="0.3">
      <c r="E49" s="101"/>
      <c r="F49" s="53">
        <v>9</v>
      </c>
      <c r="G49" s="53">
        <f>H48+$F$16</f>
        <v>240.1</v>
      </c>
      <c r="H49" s="53">
        <f>G49+(F49*$F$16)</f>
        <v>262.60000000000002</v>
      </c>
      <c r="I49" s="53">
        <f t="shared" si="1"/>
        <v>251.35000000000002</v>
      </c>
      <c r="J49" s="54">
        <f>I49*$K$16</f>
        <v>6.2837500000000013</v>
      </c>
      <c r="K49" s="56">
        <f t="shared" si="4"/>
        <v>11673.75</v>
      </c>
      <c r="L49" s="57">
        <f t="shared" si="5"/>
        <v>2934.1970625000004</v>
      </c>
      <c r="M49" s="75">
        <f>L49*$K$16</f>
        <v>73.354926562500012</v>
      </c>
      <c r="N49" s="54">
        <f>M49*F49</f>
        <v>660.19433906250015</v>
      </c>
      <c r="O49" s="98"/>
    </row>
    <row r="50" spans="5:15" x14ac:dyDescent="0.25">
      <c r="E50" s="99">
        <v>7</v>
      </c>
      <c r="F50" s="48">
        <v>7</v>
      </c>
      <c r="G50" s="48">
        <f>H49+$F$17</f>
        <v>265.60000000000002</v>
      </c>
      <c r="H50" s="48">
        <f>G50+(F50*$F$17)</f>
        <v>286.60000000000002</v>
      </c>
      <c r="I50" s="48">
        <f t="shared" si="1"/>
        <v>276.10000000000002</v>
      </c>
      <c r="J50" s="49">
        <f>I50*$K$17</f>
        <v>4.1415000000000006</v>
      </c>
      <c r="K50" s="50">
        <f t="shared" si="4"/>
        <v>11673.75</v>
      </c>
      <c r="L50" s="51">
        <f t="shared" si="2"/>
        <v>3223.1223749999999</v>
      </c>
      <c r="M50" s="73">
        <f>L50*$K$17</f>
        <v>48.346835624999997</v>
      </c>
      <c r="N50" s="49">
        <f t="shared" si="3"/>
        <v>338.42784937499999</v>
      </c>
      <c r="O50" s="96">
        <f>SUM(N50:N53)</f>
        <v>1656.8553375000001</v>
      </c>
    </row>
    <row r="51" spans="5:15" x14ac:dyDescent="0.25">
      <c r="E51" s="100"/>
      <c r="F51" s="43">
        <v>7</v>
      </c>
      <c r="G51" s="43">
        <f>H50+$F$17</f>
        <v>289.60000000000002</v>
      </c>
      <c r="H51" s="43">
        <f>G51+(F51*$F$17)</f>
        <v>310.60000000000002</v>
      </c>
      <c r="I51" s="43">
        <f t="shared" si="1"/>
        <v>300.10000000000002</v>
      </c>
      <c r="J51" s="44">
        <f>I51*$K$17</f>
        <v>4.5015000000000001</v>
      </c>
      <c r="K51" s="45">
        <f t="shared" si="4"/>
        <v>11673.75</v>
      </c>
      <c r="L51" s="46">
        <f t="shared" si="2"/>
        <v>3503.2923750000004</v>
      </c>
      <c r="M51" s="74">
        <f>L51*$K$17</f>
        <v>52.549385625000006</v>
      </c>
      <c r="N51" s="44">
        <f t="shared" si="3"/>
        <v>367.84569937500004</v>
      </c>
      <c r="O51" s="97"/>
    </row>
    <row r="52" spans="5:15" x14ac:dyDescent="0.25">
      <c r="E52" s="100"/>
      <c r="F52" s="43">
        <v>7</v>
      </c>
      <c r="G52" s="43">
        <f>H51+$F$17</f>
        <v>313.60000000000002</v>
      </c>
      <c r="H52" s="43">
        <f>G52+(F52*$F$17)</f>
        <v>334.6</v>
      </c>
      <c r="I52" s="43">
        <f t="shared" si="1"/>
        <v>324.10000000000002</v>
      </c>
      <c r="J52" s="44">
        <f>I52*$K$17</f>
        <v>4.8615000000000004</v>
      </c>
      <c r="K52" s="45">
        <f t="shared" si="4"/>
        <v>11673.75</v>
      </c>
      <c r="L52" s="46">
        <f t="shared" si="2"/>
        <v>3783.4623750000001</v>
      </c>
      <c r="M52" s="74">
        <f>L52*$K$17</f>
        <v>56.751935625000002</v>
      </c>
      <c r="N52" s="44">
        <f t="shared" si="3"/>
        <v>397.26354937500003</v>
      </c>
      <c r="O52" s="97"/>
    </row>
    <row r="53" spans="5:15" ht="15.75" thickBot="1" x14ac:dyDescent="0.3">
      <c r="E53" s="101"/>
      <c r="F53" s="53">
        <v>9</v>
      </c>
      <c r="G53" s="53">
        <f>H52+$F$17</f>
        <v>337.6</v>
      </c>
      <c r="H53" s="53">
        <f>G53+(F53*$F$17)</f>
        <v>364.6</v>
      </c>
      <c r="I53" s="53">
        <f t="shared" si="1"/>
        <v>351.1</v>
      </c>
      <c r="J53" s="54">
        <f>I53*$K$17</f>
        <v>5.2664999999999997</v>
      </c>
      <c r="K53" s="56">
        <f t="shared" si="4"/>
        <v>11673.75</v>
      </c>
      <c r="L53" s="57">
        <f t="shared" si="2"/>
        <v>4098.6536249999999</v>
      </c>
      <c r="M53" s="75">
        <f>L53*$K$17</f>
        <v>61.479804374999993</v>
      </c>
      <c r="N53" s="54">
        <f t="shared" si="3"/>
        <v>553.31823937499996</v>
      </c>
      <c r="O53" s="98"/>
    </row>
    <row r="54" spans="5:15" x14ac:dyDescent="0.25">
      <c r="E54" s="99">
        <v>8</v>
      </c>
      <c r="F54" s="48">
        <v>7</v>
      </c>
      <c r="G54" s="48">
        <f>H53+$F$18</f>
        <v>368.6</v>
      </c>
      <c r="H54" s="48">
        <f>G54+(F54*$F$18)</f>
        <v>396.6</v>
      </c>
      <c r="I54" s="48">
        <f t="shared" si="1"/>
        <v>382.6</v>
      </c>
      <c r="J54" s="49">
        <f>I54*$K$18</f>
        <v>5.7389999999999999</v>
      </c>
      <c r="K54" s="50">
        <f t="shared" si="4"/>
        <v>11673.75</v>
      </c>
      <c r="L54" s="51">
        <f t="shared" si="2"/>
        <v>4466.3767500000004</v>
      </c>
      <c r="M54" s="73">
        <f>L54*$K$18</f>
        <v>66.995651250000009</v>
      </c>
      <c r="N54" s="49">
        <f t="shared" si="3"/>
        <v>468.96955875000003</v>
      </c>
      <c r="O54" s="96">
        <f>SUM(N54:N57)</f>
        <v>2285.1365624999999</v>
      </c>
    </row>
    <row r="55" spans="5:15" x14ac:dyDescent="0.25">
      <c r="E55" s="100"/>
      <c r="F55" s="43">
        <v>7</v>
      </c>
      <c r="G55" s="43">
        <f>H54+$F$18</f>
        <v>400.6</v>
      </c>
      <c r="H55" s="43">
        <f>G55+(F55*$F$18)</f>
        <v>428.6</v>
      </c>
      <c r="I55" s="43">
        <f t="shared" si="1"/>
        <v>414.6</v>
      </c>
      <c r="J55" s="44">
        <f>I55*$K$18</f>
        <v>6.2190000000000003</v>
      </c>
      <c r="K55" s="45">
        <f t="shared" si="4"/>
        <v>11673.75</v>
      </c>
      <c r="L55" s="46">
        <f t="shared" si="2"/>
        <v>4839.9367499999998</v>
      </c>
      <c r="M55" s="74">
        <f>L55*$K$18</f>
        <v>72.599051249999988</v>
      </c>
      <c r="N55" s="44">
        <f t="shared" si="3"/>
        <v>508.1933587499999</v>
      </c>
      <c r="O55" s="97"/>
    </row>
    <row r="56" spans="5:15" x14ac:dyDescent="0.25">
      <c r="E56" s="100"/>
      <c r="F56" s="43">
        <v>7</v>
      </c>
      <c r="G56" s="43">
        <f>H55+$F$18</f>
        <v>432.6</v>
      </c>
      <c r="H56" s="43">
        <f>G56+(F56*$F$18)</f>
        <v>460.6</v>
      </c>
      <c r="I56" s="43">
        <f t="shared" si="1"/>
        <v>446.6</v>
      </c>
      <c r="J56" s="44">
        <f>I56*$K$18</f>
        <v>6.6989999999999998</v>
      </c>
      <c r="K56" s="45">
        <f t="shared" si="4"/>
        <v>11673.75</v>
      </c>
      <c r="L56" s="46">
        <f t="shared" si="2"/>
        <v>5213.4967500000002</v>
      </c>
      <c r="M56" s="74">
        <f>L56*$K$18</f>
        <v>78.202451249999996</v>
      </c>
      <c r="N56" s="44">
        <f t="shared" si="3"/>
        <v>547.41715875</v>
      </c>
      <c r="O56" s="97"/>
    </row>
    <row r="57" spans="5:15" ht="15.75" thickBot="1" x14ac:dyDescent="0.3">
      <c r="E57" s="101"/>
      <c r="F57" s="53">
        <v>9</v>
      </c>
      <c r="G57" s="53">
        <f>H56+$F$18</f>
        <v>464.6</v>
      </c>
      <c r="H57" s="53">
        <f>G57+(F57*$F$18)</f>
        <v>500.6</v>
      </c>
      <c r="I57" s="53">
        <f t="shared" si="1"/>
        <v>482.6</v>
      </c>
      <c r="J57" s="54">
        <f>I57*$K$18</f>
        <v>7.2389999999999999</v>
      </c>
      <c r="K57" s="56">
        <f t="shared" si="4"/>
        <v>11673.75</v>
      </c>
      <c r="L57" s="57">
        <f t="shared" si="2"/>
        <v>5633.7517500000004</v>
      </c>
      <c r="M57" s="75">
        <f>L57*$K$18</f>
        <v>84.506276249999999</v>
      </c>
      <c r="N57" s="54">
        <f t="shared" si="3"/>
        <v>760.55648625000003</v>
      </c>
      <c r="O57" s="98"/>
    </row>
    <row r="58" spans="5:15" x14ac:dyDescent="0.25">
      <c r="E58" s="99">
        <v>9</v>
      </c>
      <c r="F58" s="48">
        <v>7</v>
      </c>
      <c r="G58" s="48">
        <f>H57+$F$19</f>
        <v>505.6</v>
      </c>
      <c r="H58" s="48">
        <f>G58+(F58*$F$19)</f>
        <v>540.6</v>
      </c>
      <c r="I58" s="48">
        <f t="shared" si="1"/>
        <v>523.1</v>
      </c>
      <c r="J58" s="49">
        <f>I58*$K$19</f>
        <v>6.5387500000000003</v>
      </c>
      <c r="K58" s="50">
        <f t="shared" si="4"/>
        <v>11673.75</v>
      </c>
      <c r="L58" s="51">
        <f t="shared" si="2"/>
        <v>6106.5386250000001</v>
      </c>
      <c r="M58" s="73">
        <f>L58*$K$19</f>
        <v>76.331732812500007</v>
      </c>
      <c r="N58" s="49">
        <f t="shared" si="3"/>
        <v>534.32212968750002</v>
      </c>
      <c r="O58" s="96">
        <f>SUM(N58:N61)</f>
        <v>2576.6884687500001</v>
      </c>
    </row>
    <row r="59" spans="5:15" x14ac:dyDescent="0.25">
      <c r="E59" s="100"/>
      <c r="F59" s="43">
        <v>7</v>
      </c>
      <c r="G59" s="43">
        <f>H58+$F$19</f>
        <v>545.6</v>
      </c>
      <c r="H59" s="43">
        <f>G59+(F59*$F$19)</f>
        <v>580.6</v>
      </c>
      <c r="I59" s="43">
        <f t="shared" si="1"/>
        <v>563.1</v>
      </c>
      <c r="J59" s="44">
        <f>I59*$K$19</f>
        <v>7.0387500000000003</v>
      </c>
      <c r="K59" s="45">
        <f t="shared" si="4"/>
        <v>11673.75</v>
      </c>
      <c r="L59" s="46">
        <f t="shared" si="2"/>
        <v>6573.4886250000009</v>
      </c>
      <c r="M59" s="74">
        <f>L59*$K$19</f>
        <v>82.168607812500014</v>
      </c>
      <c r="N59" s="44">
        <f t="shared" si="3"/>
        <v>575.18025468750011</v>
      </c>
      <c r="O59" s="97"/>
    </row>
    <row r="60" spans="5:15" x14ac:dyDescent="0.25">
      <c r="E60" s="100"/>
      <c r="F60" s="43">
        <v>7</v>
      </c>
      <c r="G60" s="43">
        <f>H59+$F$19</f>
        <v>585.6</v>
      </c>
      <c r="H60" s="43">
        <f>G60+(F60*$F$19)</f>
        <v>620.6</v>
      </c>
      <c r="I60" s="43">
        <f t="shared" si="1"/>
        <v>603.1</v>
      </c>
      <c r="J60" s="44">
        <f>I60*$K$19</f>
        <v>7.5387500000000003</v>
      </c>
      <c r="K60" s="45">
        <f t="shared" si="4"/>
        <v>11673.75</v>
      </c>
      <c r="L60" s="46">
        <f t="shared" si="2"/>
        <v>7040.4386249999998</v>
      </c>
      <c r="M60" s="74">
        <f>L60*$K$19</f>
        <v>88.005482812500006</v>
      </c>
      <c r="N60" s="44">
        <f t="shared" si="3"/>
        <v>616.03837968750008</v>
      </c>
      <c r="O60" s="97"/>
    </row>
    <row r="61" spans="5:15" ht="15.75" thickBot="1" x14ac:dyDescent="0.3">
      <c r="E61" s="101"/>
      <c r="F61" s="53">
        <v>9</v>
      </c>
      <c r="G61" s="53">
        <f>H60+$F$19</f>
        <v>625.6</v>
      </c>
      <c r="H61" s="53">
        <f>G61+(F61*$F$19)</f>
        <v>670.6</v>
      </c>
      <c r="I61" s="53">
        <f t="shared" si="1"/>
        <v>648.1</v>
      </c>
      <c r="J61" s="54">
        <f>I61*$K$19</f>
        <v>8.1012500000000003</v>
      </c>
      <c r="K61" s="56">
        <f t="shared" si="4"/>
        <v>11673.75</v>
      </c>
      <c r="L61" s="57">
        <f t="shared" si="2"/>
        <v>7565.7573750000001</v>
      </c>
      <c r="M61" s="75">
        <f>L61*$K$19</f>
        <v>94.571967187500007</v>
      </c>
      <c r="N61" s="54">
        <f t="shared" si="3"/>
        <v>851.1477046875001</v>
      </c>
      <c r="O61" s="98"/>
    </row>
    <row r="62" spans="5:15" ht="15.75" thickBot="1" x14ac:dyDescent="0.3">
      <c r="E62" s="59">
        <v>10</v>
      </c>
      <c r="F62" s="60">
        <v>9</v>
      </c>
      <c r="G62" s="60">
        <f>H61+$F$20</f>
        <v>676.1</v>
      </c>
      <c r="H62" s="60">
        <f>G62+(F62*$F$20)</f>
        <v>725.6</v>
      </c>
      <c r="I62" s="60">
        <f t="shared" si="1"/>
        <v>700.85</v>
      </c>
      <c r="J62" s="61">
        <f>I62*$K$20</f>
        <v>7.0085000000000006</v>
      </c>
      <c r="K62" s="62">
        <f t="shared" si="4"/>
        <v>11673.75</v>
      </c>
      <c r="L62" s="63">
        <f t="shared" si="2"/>
        <v>8181.5476874999995</v>
      </c>
      <c r="M62" s="76">
        <f>L62*$K$20</f>
        <v>81.815476875000002</v>
      </c>
      <c r="N62" s="61">
        <f t="shared" si="3"/>
        <v>736.33929187500007</v>
      </c>
      <c r="O62" s="64">
        <f>N62</f>
        <v>736.33929187500007</v>
      </c>
    </row>
  </sheetData>
  <mergeCells count="30">
    <mergeCell ref="O26:O29"/>
    <mergeCell ref="O30:O33"/>
    <mergeCell ref="E58:E61"/>
    <mergeCell ref="O58:O61"/>
    <mergeCell ref="I6:L6"/>
    <mergeCell ref="E38:E41"/>
    <mergeCell ref="E42:E45"/>
    <mergeCell ref="E46:E49"/>
    <mergeCell ref="E50:E53"/>
    <mergeCell ref="E54:E57"/>
    <mergeCell ref="E26:E29"/>
    <mergeCell ref="E30:E33"/>
    <mergeCell ref="E34:E37"/>
    <mergeCell ref="E23:O23"/>
    <mergeCell ref="H14:H16"/>
    <mergeCell ref="H17:H20"/>
    <mergeCell ref="O50:O53"/>
    <mergeCell ref="O54:O57"/>
    <mergeCell ref="O42:O45"/>
    <mergeCell ref="O46:O49"/>
    <mergeCell ref="O34:O37"/>
    <mergeCell ref="O38:O41"/>
    <mergeCell ref="J11:J13"/>
    <mergeCell ref="I11:I13"/>
    <mergeCell ref="E1:O4"/>
    <mergeCell ref="H11:H13"/>
    <mergeCell ref="J17:J20"/>
    <mergeCell ref="I17:I20"/>
    <mergeCell ref="I14:I16"/>
    <mergeCell ref="J14:J16"/>
  </mergeCells>
  <conditionalFormatting sqref="F29:I29 K29:L29 N29">
    <cfRule type="cellIs" dxfId="0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E1:W53"/>
  <sheetViews>
    <sheetView showGridLines="0" zoomScaleNormal="100" workbookViewId="0"/>
  </sheetViews>
  <sheetFormatPr defaultRowHeight="15" x14ac:dyDescent="0.25"/>
  <cols>
    <col min="5" max="5" width="5.140625" bestFit="1" customWidth="1"/>
    <col min="6" max="6" width="10.28515625" bestFit="1" customWidth="1"/>
    <col min="7" max="7" width="11" bestFit="1" customWidth="1"/>
    <col min="8" max="9" width="6.7109375" bestFit="1" customWidth="1"/>
    <col min="10" max="10" width="10.28515625" bestFit="1" customWidth="1"/>
    <col min="11" max="11" width="11" bestFit="1" customWidth="1"/>
    <col min="12" max="12" width="6.7109375" bestFit="1" customWidth="1"/>
    <col min="13" max="13" width="7.28515625" bestFit="1" customWidth="1"/>
    <col min="14" max="14" width="10.28515625" bestFit="1" customWidth="1"/>
    <col min="15" max="15" width="11" bestFit="1" customWidth="1"/>
    <col min="16" max="16" width="7.28515625" bestFit="1" customWidth="1"/>
    <col min="17" max="17" width="6.7109375" bestFit="1" customWidth="1"/>
    <col min="18" max="18" width="10.28515625" bestFit="1" customWidth="1"/>
    <col min="19" max="19" width="11" bestFit="1" customWidth="1"/>
    <col min="20" max="20" width="7.28515625" customWidth="1"/>
    <col min="21" max="21" width="5.140625" bestFit="1" customWidth="1"/>
    <col min="22" max="22" width="10.28515625" bestFit="1" customWidth="1"/>
    <col min="23" max="23" width="11" bestFit="1" customWidth="1"/>
  </cols>
  <sheetData>
    <row r="1" spans="5:23" ht="15" customHeight="1" x14ac:dyDescent="0.25">
      <c r="G1" s="83" t="s">
        <v>78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5:23" ht="15" customHeight="1" x14ac:dyDescent="0.25"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5:23" ht="15" customHeight="1" x14ac:dyDescent="0.25"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5:23" ht="15" customHeight="1" x14ac:dyDescent="0.25"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6" spans="5:23" x14ac:dyDescent="0.25">
      <c r="G6" s="108" t="s">
        <v>79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T6" s="80"/>
      <c r="U6" s="109" t="s">
        <v>95</v>
      </c>
      <c r="V6" s="109"/>
    </row>
    <row r="7" spans="5:23" x14ac:dyDescent="0.25">
      <c r="G7" s="19" t="s">
        <v>6</v>
      </c>
      <c r="H7" s="20">
        <v>2019</v>
      </c>
      <c r="I7" s="20">
        <v>2020</v>
      </c>
      <c r="J7" s="20">
        <v>2021</v>
      </c>
      <c r="K7" s="20">
        <v>2022</v>
      </c>
      <c r="L7" s="20">
        <v>2023</v>
      </c>
      <c r="M7" s="20">
        <v>2024</v>
      </c>
      <c r="N7" s="20">
        <v>2025</v>
      </c>
      <c r="O7" s="20">
        <v>2026</v>
      </c>
      <c r="P7" s="20">
        <v>2027</v>
      </c>
      <c r="Q7" s="20">
        <v>2028</v>
      </c>
      <c r="R7" s="20">
        <v>2029</v>
      </c>
      <c r="T7" s="81"/>
      <c r="U7" s="109" t="s">
        <v>96</v>
      </c>
      <c r="V7" s="109"/>
    </row>
    <row r="8" spans="5:23" x14ac:dyDescent="0.25">
      <c r="G8" s="19" t="s">
        <v>80</v>
      </c>
      <c r="H8" s="77">
        <v>42846</v>
      </c>
      <c r="I8" s="77">
        <v>42837</v>
      </c>
      <c r="J8" s="77">
        <v>42829</v>
      </c>
      <c r="K8" s="77">
        <v>42842</v>
      </c>
      <c r="L8" s="77">
        <v>42834</v>
      </c>
      <c r="M8" s="77">
        <v>42825</v>
      </c>
      <c r="N8" s="77">
        <v>42845</v>
      </c>
      <c r="O8" s="77">
        <v>42830</v>
      </c>
      <c r="P8" s="77">
        <v>42822</v>
      </c>
      <c r="Q8" s="77">
        <v>42841</v>
      </c>
      <c r="R8" s="77">
        <v>42826</v>
      </c>
    </row>
    <row r="10" spans="5:23" x14ac:dyDescent="0.25">
      <c r="E10" s="107">
        <v>2018</v>
      </c>
      <c r="F10" s="107"/>
      <c r="G10" s="107"/>
      <c r="I10" s="107">
        <v>2019</v>
      </c>
      <c r="J10" s="107"/>
      <c r="K10" s="107"/>
      <c r="M10" s="107">
        <v>2020</v>
      </c>
      <c r="N10" s="107"/>
      <c r="O10" s="107"/>
      <c r="Q10" s="107">
        <v>2021</v>
      </c>
      <c r="R10" s="107"/>
      <c r="S10" s="107"/>
      <c r="U10" s="107">
        <v>2022</v>
      </c>
      <c r="V10" s="107"/>
      <c r="W10" s="107"/>
    </row>
    <row r="11" spans="5:23" x14ac:dyDescent="0.25">
      <c r="E11" s="7" t="s">
        <v>0</v>
      </c>
      <c r="F11" s="7" t="s">
        <v>93</v>
      </c>
      <c r="G11" s="7" t="s">
        <v>94</v>
      </c>
      <c r="I11" s="7" t="s">
        <v>0</v>
      </c>
      <c r="J11" s="7" t="s">
        <v>93</v>
      </c>
      <c r="K11" s="7" t="s">
        <v>94</v>
      </c>
      <c r="M11" s="7" t="s">
        <v>0</v>
      </c>
      <c r="N11" s="7" t="s">
        <v>93</v>
      </c>
      <c r="O11" s="7" t="s">
        <v>94</v>
      </c>
      <c r="Q11" s="7" t="s">
        <v>0</v>
      </c>
      <c r="R11" s="7" t="s">
        <v>93</v>
      </c>
      <c r="S11" s="7" t="s">
        <v>94</v>
      </c>
      <c r="U11" s="7" t="s">
        <v>0</v>
      </c>
      <c r="V11" s="7" t="s">
        <v>93</v>
      </c>
      <c r="W11" s="7" t="s">
        <v>94</v>
      </c>
    </row>
    <row r="12" spans="5:23" x14ac:dyDescent="0.25">
      <c r="E12" s="8" t="s">
        <v>81</v>
      </c>
      <c r="F12" s="8"/>
      <c r="G12" s="8"/>
      <c r="I12" s="8" t="s">
        <v>81</v>
      </c>
      <c r="J12" s="8"/>
      <c r="K12" s="28">
        <f>'MANEJO ALIMENTAR'!O17</f>
        <v>3283</v>
      </c>
      <c r="M12" s="8" t="s">
        <v>81</v>
      </c>
      <c r="N12" s="8"/>
      <c r="O12" s="28">
        <f>K12</f>
        <v>3283</v>
      </c>
      <c r="Q12" s="8" t="s">
        <v>81</v>
      </c>
      <c r="R12" s="8"/>
      <c r="S12" s="28">
        <f>O12</f>
        <v>3283</v>
      </c>
      <c r="U12" s="8" t="s">
        <v>81</v>
      </c>
      <c r="V12" s="8"/>
      <c r="W12" s="28">
        <f>S12</f>
        <v>3283</v>
      </c>
    </row>
    <row r="13" spans="5:23" x14ac:dyDescent="0.25">
      <c r="E13" s="8" t="s">
        <v>82</v>
      </c>
      <c r="F13" s="8"/>
      <c r="G13" s="8"/>
      <c r="I13" s="8" t="s">
        <v>82</v>
      </c>
      <c r="J13" s="8"/>
      <c r="K13" s="28">
        <f>'MANEJO ALIMENTAR'!O18</f>
        <v>4508</v>
      </c>
      <c r="M13" s="8" t="s">
        <v>82</v>
      </c>
      <c r="N13" s="8"/>
      <c r="O13" s="28">
        <f t="shared" ref="O13:O23" si="0">K13</f>
        <v>4508</v>
      </c>
      <c r="Q13" s="8" t="s">
        <v>82</v>
      </c>
      <c r="R13" s="8"/>
      <c r="S13" s="28">
        <f t="shared" ref="S13:S23" si="1">O13</f>
        <v>4508</v>
      </c>
      <c r="U13" s="8" t="s">
        <v>82</v>
      </c>
      <c r="V13" s="8"/>
      <c r="W13" s="28">
        <f t="shared" ref="W13:W23" si="2">S13</f>
        <v>4508</v>
      </c>
    </row>
    <row r="14" spans="5:23" x14ac:dyDescent="0.25">
      <c r="E14" s="8" t="s">
        <v>83</v>
      </c>
      <c r="F14" s="8"/>
      <c r="G14" s="8"/>
      <c r="I14" s="8" t="s">
        <v>83</v>
      </c>
      <c r="J14" s="8"/>
      <c r="K14" s="28">
        <f>'MANEJO ALIMENTAR'!O19</f>
        <v>5096</v>
      </c>
      <c r="M14" s="8" t="s">
        <v>83</v>
      </c>
      <c r="N14" s="8"/>
      <c r="O14" s="28">
        <f t="shared" si="0"/>
        <v>5096</v>
      </c>
      <c r="Q14" s="8" t="s">
        <v>83</v>
      </c>
      <c r="R14" s="8"/>
      <c r="S14" s="28">
        <f t="shared" si="1"/>
        <v>5096</v>
      </c>
      <c r="U14" s="8" t="s">
        <v>83</v>
      </c>
      <c r="V14" s="8"/>
      <c r="W14" s="28">
        <f t="shared" si="2"/>
        <v>5096</v>
      </c>
    </row>
    <row r="15" spans="5:23" x14ac:dyDescent="0.25">
      <c r="E15" s="8" t="s">
        <v>84</v>
      </c>
      <c r="F15" s="8"/>
      <c r="G15" s="8"/>
      <c r="I15" s="8" t="s">
        <v>84</v>
      </c>
      <c r="J15" s="82" t="s">
        <v>96</v>
      </c>
      <c r="K15" s="28">
        <f>'MANEJO ALIMENTAR'!O20</f>
        <v>1470</v>
      </c>
      <c r="M15" s="8" t="s">
        <v>84</v>
      </c>
      <c r="N15" s="82" t="s">
        <v>96</v>
      </c>
      <c r="O15" s="28">
        <f t="shared" si="0"/>
        <v>1470</v>
      </c>
      <c r="Q15" s="8" t="s">
        <v>84</v>
      </c>
      <c r="R15" s="82" t="s">
        <v>96</v>
      </c>
      <c r="S15" s="28">
        <f t="shared" si="1"/>
        <v>1470</v>
      </c>
      <c r="U15" s="8" t="s">
        <v>84</v>
      </c>
      <c r="V15" s="82" t="s">
        <v>96</v>
      </c>
      <c r="W15" s="28">
        <f t="shared" si="2"/>
        <v>1470</v>
      </c>
    </row>
    <row r="16" spans="5:23" x14ac:dyDescent="0.25">
      <c r="E16" s="8" t="s">
        <v>85</v>
      </c>
      <c r="F16" s="8"/>
      <c r="G16" s="8"/>
      <c r="I16" s="8" t="s">
        <v>85</v>
      </c>
      <c r="J16" s="8"/>
      <c r="K16" s="28"/>
      <c r="M16" s="8" t="s">
        <v>85</v>
      </c>
      <c r="N16" s="8"/>
      <c r="O16" s="28"/>
      <c r="Q16" s="8" t="s">
        <v>85</v>
      </c>
      <c r="R16" s="8"/>
      <c r="S16" s="28"/>
      <c r="U16" s="8" t="s">
        <v>85</v>
      </c>
      <c r="V16" s="8"/>
      <c r="W16" s="28"/>
    </row>
    <row r="17" spans="5:23" x14ac:dyDescent="0.25">
      <c r="E17" s="8" t="s">
        <v>86</v>
      </c>
      <c r="F17" s="78"/>
      <c r="G17" s="78"/>
      <c r="I17" s="8" t="s">
        <v>86</v>
      </c>
      <c r="J17" s="8"/>
      <c r="K17" s="28"/>
      <c r="M17" s="8" t="s">
        <v>86</v>
      </c>
      <c r="N17" s="8"/>
      <c r="O17" s="28"/>
      <c r="Q17" s="8" t="s">
        <v>86</v>
      </c>
      <c r="R17" s="8"/>
      <c r="S17" s="28"/>
      <c r="U17" s="8" t="s">
        <v>86</v>
      </c>
      <c r="V17" s="8"/>
      <c r="W17" s="28"/>
    </row>
    <row r="18" spans="5:23" x14ac:dyDescent="0.25">
      <c r="E18" s="8" t="s">
        <v>87</v>
      </c>
      <c r="F18" s="17" t="s">
        <v>95</v>
      </c>
      <c r="G18" s="28">
        <f>'MANEJO ALIMENTAR'!O11</f>
        <v>590</v>
      </c>
      <c r="I18" s="8" t="s">
        <v>87</v>
      </c>
      <c r="J18" s="17" t="s">
        <v>95</v>
      </c>
      <c r="K18" s="28">
        <f>G18</f>
        <v>590</v>
      </c>
      <c r="M18" s="8" t="s">
        <v>87</v>
      </c>
      <c r="N18" s="17" t="s">
        <v>95</v>
      </c>
      <c r="O18" s="28">
        <f t="shared" si="0"/>
        <v>590</v>
      </c>
      <c r="Q18" s="8" t="s">
        <v>87</v>
      </c>
      <c r="R18" s="17" t="s">
        <v>95</v>
      </c>
      <c r="S18" s="28">
        <f t="shared" si="1"/>
        <v>590</v>
      </c>
      <c r="U18" s="8" t="s">
        <v>87</v>
      </c>
      <c r="V18" s="17" t="s">
        <v>95</v>
      </c>
      <c r="W18" s="28">
        <f t="shared" si="2"/>
        <v>590</v>
      </c>
    </row>
    <row r="19" spans="5:23" x14ac:dyDescent="0.25">
      <c r="E19" s="8" t="s">
        <v>88</v>
      </c>
      <c r="F19" s="8"/>
      <c r="G19" s="28">
        <f>'MANEJO ALIMENTAR'!O12</f>
        <v>1121</v>
      </c>
      <c r="I19" s="8" t="s">
        <v>88</v>
      </c>
      <c r="J19" s="8"/>
      <c r="K19" s="28">
        <f t="shared" ref="K19:K23" si="3">G19</f>
        <v>1121</v>
      </c>
      <c r="M19" s="8" t="s">
        <v>88</v>
      </c>
      <c r="N19" s="8"/>
      <c r="O19" s="28">
        <f t="shared" si="0"/>
        <v>1121</v>
      </c>
      <c r="Q19" s="8" t="s">
        <v>88</v>
      </c>
      <c r="R19" s="8"/>
      <c r="S19" s="28">
        <f t="shared" si="1"/>
        <v>1121</v>
      </c>
      <c r="U19" s="8" t="s">
        <v>88</v>
      </c>
      <c r="V19" s="8"/>
      <c r="W19" s="28">
        <f t="shared" si="2"/>
        <v>1121</v>
      </c>
    </row>
    <row r="20" spans="5:23" x14ac:dyDescent="0.25">
      <c r="E20" s="8" t="s">
        <v>89</v>
      </c>
      <c r="F20" s="8"/>
      <c r="G20" s="28">
        <f>'MANEJO ALIMENTAR'!O13</f>
        <v>1947</v>
      </c>
      <c r="I20" s="8" t="s">
        <v>89</v>
      </c>
      <c r="J20" s="8"/>
      <c r="K20" s="28">
        <f t="shared" si="3"/>
        <v>1947</v>
      </c>
      <c r="M20" s="8" t="s">
        <v>89</v>
      </c>
      <c r="N20" s="8"/>
      <c r="O20" s="28">
        <f t="shared" si="0"/>
        <v>1947</v>
      </c>
      <c r="Q20" s="8" t="s">
        <v>89</v>
      </c>
      <c r="R20" s="8"/>
      <c r="S20" s="28">
        <f t="shared" si="1"/>
        <v>1947</v>
      </c>
      <c r="U20" s="8" t="s">
        <v>89</v>
      </c>
      <c r="V20" s="8"/>
      <c r="W20" s="28">
        <f t="shared" si="2"/>
        <v>1947</v>
      </c>
    </row>
    <row r="21" spans="5:23" x14ac:dyDescent="0.25">
      <c r="E21" s="8" t="s">
        <v>90</v>
      </c>
      <c r="F21" s="8"/>
      <c r="G21" s="28">
        <f>'MANEJO ALIMENTAR'!O14</f>
        <v>2600</v>
      </c>
      <c r="I21" s="8" t="s">
        <v>90</v>
      </c>
      <c r="J21" s="8"/>
      <c r="K21" s="28">
        <f t="shared" si="3"/>
        <v>2600</v>
      </c>
      <c r="M21" s="8" t="s">
        <v>90</v>
      </c>
      <c r="N21" s="8"/>
      <c r="O21" s="28">
        <f t="shared" si="0"/>
        <v>2600</v>
      </c>
      <c r="Q21" s="8" t="s">
        <v>90</v>
      </c>
      <c r="R21" s="8"/>
      <c r="S21" s="28">
        <f t="shared" si="1"/>
        <v>2600</v>
      </c>
      <c r="U21" s="8" t="s">
        <v>90</v>
      </c>
      <c r="V21" s="8"/>
      <c r="W21" s="28">
        <f t="shared" si="2"/>
        <v>2600</v>
      </c>
    </row>
    <row r="22" spans="5:23" x14ac:dyDescent="0.25">
      <c r="E22" s="8" t="s">
        <v>91</v>
      </c>
      <c r="F22" s="8"/>
      <c r="G22" s="28">
        <f>'MANEJO ALIMENTAR'!O15</f>
        <v>3692</v>
      </c>
      <c r="I22" s="8" t="s">
        <v>91</v>
      </c>
      <c r="J22" s="8"/>
      <c r="K22" s="28">
        <f t="shared" si="3"/>
        <v>3692</v>
      </c>
      <c r="M22" s="8" t="s">
        <v>91</v>
      </c>
      <c r="N22" s="8"/>
      <c r="O22" s="28">
        <f t="shared" si="0"/>
        <v>3692</v>
      </c>
      <c r="Q22" s="8" t="s">
        <v>91</v>
      </c>
      <c r="R22" s="8"/>
      <c r="S22" s="28">
        <f t="shared" si="1"/>
        <v>3692</v>
      </c>
      <c r="U22" s="8" t="s">
        <v>91</v>
      </c>
      <c r="V22" s="8"/>
      <c r="W22" s="28">
        <f t="shared" si="2"/>
        <v>3692</v>
      </c>
    </row>
    <row r="23" spans="5:23" x14ac:dyDescent="0.25">
      <c r="E23" s="8" t="s">
        <v>92</v>
      </c>
      <c r="F23" s="8"/>
      <c r="G23" s="28">
        <f>'MANEJO ALIMENTAR'!O16</f>
        <v>4056</v>
      </c>
      <c r="I23" s="8" t="s">
        <v>92</v>
      </c>
      <c r="J23" s="8"/>
      <c r="K23" s="28">
        <f t="shared" si="3"/>
        <v>4056</v>
      </c>
      <c r="M23" s="8" t="s">
        <v>92</v>
      </c>
      <c r="N23" s="8"/>
      <c r="O23" s="28">
        <f t="shared" si="0"/>
        <v>4056</v>
      </c>
      <c r="Q23" s="8" t="s">
        <v>92</v>
      </c>
      <c r="R23" s="8"/>
      <c r="S23" s="28">
        <f t="shared" si="1"/>
        <v>4056</v>
      </c>
      <c r="U23" s="8" t="s">
        <v>92</v>
      </c>
      <c r="V23" s="8"/>
      <c r="W23" s="28">
        <f t="shared" si="2"/>
        <v>4056</v>
      </c>
    </row>
    <row r="25" spans="5:23" x14ac:dyDescent="0.25">
      <c r="E25" s="107">
        <v>2023</v>
      </c>
      <c r="F25" s="107"/>
      <c r="G25" s="107"/>
      <c r="I25" s="107">
        <v>2024</v>
      </c>
      <c r="J25" s="107"/>
      <c r="K25" s="107"/>
      <c r="M25" s="107">
        <v>2025</v>
      </c>
      <c r="N25" s="107"/>
      <c r="O25" s="107"/>
      <c r="Q25" s="107">
        <v>2026</v>
      </c>
      <c r="R25" s="107"/>
      <c r="S25" s="107"/>
      <c r="U25" s="107">
        <v>2027</v>
      </c>
      <c r="V25" s="107"/>
      <c r="W25" s="107"/>
    </row>
    <row r="26" spans="5:23" x14ac:dyDescent="0.25">
      <c r="E26" s="7" t="s">
        <v>0</v>
      </c>
      <c r="F26" s="7" t="s">
        <v>93</v>
      </c>
      <c r="G26" s="7" t="s">
        <v>94</v>
      </c>
      <c r="I26" s="7" t="s">
        <v>0</v>
      </c>
      <c r="J26" s="7" t="s">
        <v>93</v>
      </c>
      <c r="K26" s="7" t="s">
        <v>94</v>
      </c>
      <c r="M26" s="7" t="s">
        <v>0</v>
      </c>
      <c r="N26" s="7" t="s">
        <v>93</v>
      </c>
      <c r="O26" s="7" t="s">
        <v>94</v>
      </c>
      <c r="Q26" s="7" t="s">
        <v>0</v>
      </c>
      <c r="R26" s="7" t="s">
        <v>93</v>
      </c>
      <c r="S26" s="7" t="s">
        <v>94</v>
      </c>
      <c r="U26" s="7" t="s">
        <v>0</v>
      </c>
      <c r="V26" s="7" t="s">
        <v>93</v>
      </c>
      <c r="W26" s="7" t="s">
        <v>94</v>
      </c>
    </row>
    <row r="27" spans="5:23" x14ac:dyDescent="0.25">
      <c r="E27" s="8" t="s">
        <v>81</v>
      </c>
      <c r="F27" s="8"/>
      <c r="G27" s="79">
        <f>K12</f>
        <v>3283</v>
      </c>
      <c r="I27" s="8" t="s">
        <v>81</v>
      </c>
      <c r="J27" s="8"/>
      <c r="K27" s="28">
        <f>O13</f>
        <v>4508</v>
      </c>
      <c r="M27" s="8" t="s">
        <v>81</v>
      </c>
      <c r="N27" s="8"/>
      <c r="O27" s="28">
        <f>O12</f>
        <v>3283</v>
      </c>
      <c r="Q27" s="8" t="s">
        <v>81</v>
      </c>
      <c r="R27" s="8"/>
      <c r="S27" s="28">
        <f>S12</f>
        <v>3283</v>
      </c>
      <c r="U27" s="8" t="s">
        <v>81</v>
      </c>
      <c r="V27" s="8"/>
      <c r="W27" s="28">
        <f>W13</f>
        <v>4508</v>
      </c>
    </row>
    <row r="28" spans="5:23" x14ac:dyDescent="0.25">
      <c r="E28" s="8" t="s">
        <v>82</v>
      </c>
      <c r="F28" s="8"/>
      <c r="G28" s="79">
        <f t="shared" ref="G28:G30" si="4">K13</f>
        <v>4508</v>
      </c>
      <c r="I28" s="8" t="s">
        <v>82</v>
      </c>
      <c r="J28" s="8"/>
      <c r="K28" s="28">
        <f t="shared" ref="K28:K29" si="5">O14</f>
        <v>5096</v>
      </c>
      <c r="M28" s="8" t="s">
        <v>82</v>
      </c>
      <c r="N28" s="8"/>
      <c r="O28" s="28">
        <f t="shared" ref="O28:O38" si="6">O13</f>
        <v>4508</v>
      </c>
      <c r="Q28" s="8" t="s">
        <v>82</v>
      </c>
      <c r="R28" s="8"/>
      <c r="S28" s="28">
        <f t="shared" ref="S28:S30" si="7">S13</f>
        <v>4508</v>
      </c>
      <c r="U28" s="8" t="s">
        <v>82</v>
      </c>
      <c r="V28" s="8"/>
      <c r="W28" s="28">
        <f t="shared" ref="W28:W29" si="8">W14</f>
        <v>5096</v>
      </c>
    </row>
    <row r="29" spans="5:23" x14ac:dyDescent="0.25">
      <c r="E29" s="8" t="s">
        <v>83</v>
      </c>
      <c r="F29" s="8"/>
      <c r="G29" s="79">
        <f t="shared" si="4"/>
        <v>5096</v>
      </c>
      <c r="I29" s="8" t="s">
        <v>83</v>
      </c>
      <c r="J29" s="82" t="s">
        <v>96</v>
      </c>
      <c r="K29" s="28">
        <f t="shared" si="5"/>
        <v>1470</v>
      </c>
      <c r="M29" s="8" t="s">
        <v>83</v>
      </c>
      <c r="N29" s="8"/>
      <c r="O29" s="28">
        <f t="shared" si="6"/>
        <v>5096</v>
      </c>
      <c r="Q29" s="8" t="s">
        <v>83</v>
      </c>
      <c r="R29" s="8"/>
      <c r="S29" s="28">
        <f t="shared" si="7"/>
        <v>5096</v>
      </c>
      <c r="U29" s="8" t="s">
        <v>83</v>
      </c>
      <c r="V29" s="82" t="s">
        <v>96</v>
      </c>
      <c r="W29" s="28">
        <f t="shared" si="8"/>
        <v>1470</v>
      </c>
    </row>
    <row r="30" spans="5:23" x14ac:dyDescent="0.25">
      <c r="E30" s="8" t="s">
        <v>84</v>
      </c>
      <c r="F30" s="82" t="s">
        <v>96</v>
      </c>
      <c r="G30" s="79">
        <f t="shared" si="4"/>
        <v>1470</v>
      </c>
      <c r="I30" s="8" t="s">
        <v>84</v>
      </c>
      <c r="J30" s="8"/>
      <c r="K30" s="28"/>
      <c r="M30" s="8" t="s">
        <v>84</v>
      </c>
      <c r="N30" s="82" t="s">
        <v>96</v>
      </c>
      <c r="O30" s="28">
        <f t="shared" si="6"/>
        <v>1470</v>
      </c>
      <c r="Q30" s="8" t="s">
        <v>84</v>
      </c>
      <c r="R30" s="82" t="s">
        <v>96</v>
      </c>
      <c r="S30" s="28">
        <f t="shared" si="7"/>
        <v>1470</v>
      </c>
      <c r="U30" s="8" t="s">
        <v>84</v>
      </c>
      <c r="V30" s="8"/>
      <c r="W30" s="28"/>
    </row>
    <row r="31" spans="5:23" x14ac:dyDescent="0.25">
      <c r="E31" s="8" t="s">
        <v>85</v>
      </c>
      <c r="F31" s="8"/>
      <c r="G31" s="79"/>
      <c r="I31" s="8" t="s">
        <v>85</v>
      </c>
      <c r="J31" s="8"/>
      <c r="K31" s="28"/>
      <c r="M31" s="8" t="s">
        <v>85</v>
      </c>
      <c r="N31" s="8"/>
      <c r="O31" s="28"/>
      <c r="Q31" s="8" t="s">
        <v>85</v>
      </c>
      <c r="R31" s="8"/>
      <c r="S31" s="28"/>
      <c r="U31" s="8" t="s">
        <v>85</v>
      </c>
      <c r="V31" s="8"/>
      <c r="W31" s="28"/>
    </row>
    <row r="32" spans="5:23" x14ac:dyDescent="0.25">
      <c r="E32" s="8" t="s">
        <v>86</v>
      </c>
      <c r="F32" s="17" t="s">
        <v>95</v>
      </c>
      <c r="G32" s="79">
        <f t="shared" ref="G32:G37" si="9">K18</f>
        <v>590</v>
      </c>
      <c r="I32" s="8" t="s">
        <v>86</v>
      </c>
      <c r="J32" s="8"/>
      <c r="K32" s="78"/>
      <c r="M32" s="8" t="s">
        <v>86</v>
      </c>
      <c r="N32" s="8"/>
      <c r="O32" s="28"/>
      <c r="Q32" s="8" t="s">
        <v>86</v>
      </c>
      <c r="R32" s="17" t="s">
        <v>95</v>
      </c>
      <c r="S32" s="28">
        <f t="shared" ref="S32:S37" si="10">S18</f>
        <v>590</v>
      </c>
      <c r="U32" s="8" t="s">
        <v>86</v>
      </c>
      <c r="V32" s="8"/>
      <c r="W32" s="78"/>
    </row>
    <row r="33" spans="5:23" x14ac:dyDescent="0.25">
      <c r="E33" s="8" t="s">
        <v>87</v>
      </c>
      <c r="F33" s="8"/>
      <c r="G33" s="79">
        <f t="shared" si="9"/>
        <v>1121</v>
      </c>
      <c r="I33" s="8" t="s">
        <v>87</v>
      </c>
      <c r="J33" s="17" t="s">
        <v>95</v>
      </c>
      <c r="K33" s="28">
        <f t="shared" ref="K33:K38" si="11">O18</f>
        <v>590</v>
      </c>
      <c r="M33" s="8" t="s">
        <v>87</v>
      </c>
      <c r="N33" s="17" t="s">
        <v>95</v>
      </c>
      <c r="O33" s="28">
        <f t="shared" si="6"/>
        <v>590</v>
      </c>
      <c r="Q33" s="8" t="s">
        <v>87</v>
      </c>
      <c r="R33" s="8"/>
      <c r="S33" s="28">
        <f t="shared" si="10"/>
        <v>1121</v>
      </c>
      <c r="U33" s="8" t="s">
        <v>87</v>
      </c>
      <c r="V33" s="17" t="s">
        <v>95</v>
      </c>
      <c r="W33" s="28">
        <f t="shared" ref="W33:W38" si="12">W18</f>
        <v>590</v>
      </c>
    </row>
    <row r="34" spans="5:23" x14ac:dyDescent="0.25">
      <c r="E34" s="8" t="s">
        <v>88</v>
      </c>
      <c r="F34" s="8"/>
      <c r="G34" s="79">
        <f t="shared" si="9"/>
        <v>1947</v>
      </c>
      <c r="I34" s="8" t="s">
        <v>88</v>
      </c>
      <c r="J34" s="8"/>
      <c r="K34" s="28">
        <f t="shared" si="11"/>
        <v>1121</v>
      </c>
      <c r="M34" s="8" t="s">
        <v>88</v>
      </c>
      <c r="N34" s="8"/>
      <c r="O34" s="28">
        <f t="shared" si="6"/>
        <v>1121</v>
      </c>
      <c r="Q34" s="8" t="s">
        <v>88</v>
      </c>
      <c r="R34" s="8"/>
      <c r="S34" s="28">
        <f t="shared" si="10"/>
        <v>1947</v>
      </c>
      <c r="U34" s="8" t="s">
        <v>88</v>
      </c>
      <c r="V34" s="8"/>
      <c r="W34" s="28">
        <f t="shared" si="12"/>
        <v>1121</v>
      </c>
    </row>
    <row r="35" spans="5:23" x14ac:dyDescent="0.25">
      <c r="E35" s="8" t="s">
        <v>89</v>
      </c>
      <c r="F35" s="8"/>
      <c r="G35" s="79">
        <f t="shared" si="9"/>
        <v>2600</v>
      </c>
      <c r="I35" s="8" t="s">
        <v>89</v>
      </c>
      <c r="J35" s="8"/>
      <c r="K35" s="28">
        <f t="shared" si="11"/>
        <v>1947</v>
      </c>
      <c r="M35" s="8" t="s">
        <v>89</v>
      </c>
      <c r="N35" s="8"/>
      <c r="O35" s="28">
        <f t="shared" si="6"/>
        <v>1947</v>
      </c>
      <c r="Q35" s="8" t="s">
        <v>89</v>
      </c>
      <c r="R35" s="8"/>
      <c r="S35" s="28">
        <f t="shared" si="10"/>
        <v>2600</v>
      </c>
      <c r="U35" s="8" t="s">
        <v>89</v>
      </c>
      <c r="V35" s="8"/>
      <c r="W35" s="28">
        <f t="shared" si="12"/>
        <v>1947</v>
      </c>
    </row>
    <row r="36" spans="5:23" x14ac:dyDescent="0.25">
      <c r="E36" s="8" t="s">
        <v>90</v>
      </c>
      <c r="F36" s="8"/>
      <c r="G36" s="79">
        <f t="shared" si="9"/>
        <v>3692</v>
      </c>
      <c r="I36" s="8" t="s">
        <v>90</v>
      </c>
      <c r="J36" s="8"/>
      <c r="K36" s="28">
        <f t="shared" si="11"/>
        <v>2600</v>
      </c>
      <c r="M36" s="8" t="s">
        <v>90</v>
      </c>
      <c r="N36" s="8"/>
      <c r="O36" s="28">
        <f t="shared" si="6"/>
        <v>2600</v>
      </c>
      <c r="Q36" s="8" t="s">
        <v>90</v>
      </c>
      <c r="R36" s="8"/>
      <c r="S36" s="28">
        <f t="shared" si="10"/>
        <v>3692</v>
      </c>
      <c r="U36" s="8" t="s">
        <v>90</v>
      </c>
      <c r="V36" s="8"/>
      <c r="W36" s="28">
        <f t="shared" si="12"/>
        <v>2600</v>
      </c>
    </row>
    <row r="37" spans="5:23" x14ac:dyDescent="0.25">
      <c r="E37" s="8" t="s">
        <v>91</v>
      </c>
      <c r="F37" s="8"/>
      <c r="G37" s="79">
        <f t="shared" si="9"/>
        <v>4056</v>
      </c>
      <c r="I37" s="8" t="s">
        <v>91</v>
      </c>
      <c r="J37" s="8"/>
      <c r="K37" s="28">
        <f t="shared" si="11"/>
        <v>3692</v>
      </c>
      <c r="M37" s="8" t="s">
        <v>91</v>
      </c>
      <c r="N37" s="8"/>
      <c r="O37" s="28">
        <f t="shared" si="6"/>
        <v>3692</v>
      </c>
      <c r="Q37" s="8" t="s">
        <v>91</v>
      </c>
      <c r="R37" s="8"/>
      <c r="S37" s="28">
        <f t="shared" si="10"/>
        <v>4056</v>
      </c>
      <c r="U37" s="8" t="s">
        <v>91</v>
      </c>
      <c r="V37" s="8"/>
      <c r="W37" s="28">
        <f t="shared" si="12"/>
        <v>3692</v>
      </c>
    </row>
    <row r="38" spans="5:23" x14ac:dyDescent="0.25">
      <c r="E38" s="8" t="s">
        <v>92</v>
      </c>
      <c r="F38" s="8"/>
      <c r="G38" s="79">
        <f>O12</f>
        <v>3283</v>
      </c>
      <c r="I38" s="8" t="s">
        <v>92</v>
      </c>
      <c r="J38" s="8"/>
      <c r="K38" s="28">
        <f t="shared" si="11"/>
        <v>4056</v>
      </c>
      <c r="M38" s="8" t="s">
        <v>92</v>
      </c>
      <c r="N38" s="8"/>
      <c r="O38" s="28">
        <f t="shared" si="6"/>
        <v>4056</v>
      </c>
      <c r="Q38" s="8" t="s">
        <v>92</v>
      </c>
      <c r="R38" s="8"/>
      <c r="S38" s="79">
        <f>W12</f>
        <v>3283</v>
      </c>
      <c r="U38" s="8" t="s">
        <v>92</v>
      </c>
      <c r="V38" s="8"/>
      <c r="W38" s="28">
        <f t="shared" si="12"/>
        <v>4056</v>
      </c>
    </row>
    <row r="40" spans="5:23" x14ac:dyDescent="0.25">
      <c r="E40" s="107">
        <v>2028</v>
      </c>
      <c r="F40" s="107"/>
      <c r="G40" s="107"/>
      <c r="I40" s="107">
        <v>2029</v>
      </c>
      <c r="J40" s="107"/>
      <c r="K40" s="107"/>
    </row>
    <row r="41" spans="5:23" x14ac:dyDescent="0.25">
      <c r="E41" s="7" t="s">
        <v>0</v>
      </c>
      <c r="F41" s="7" t="s">
        <v>93</v>
      </c>
      <c r="G41" s="7" t="s">
        <v>94</v>
      </c>
      <c r="I41" s="7" t="s">
        <v>0</v>
      </c>
      <c r="J41" s="7" t="s">
        <v>93</v>
      </c>
      <c r="K41" s="7" t="s">
        <v>94</v>
      </c>
    </row>
    <row r="42" spans="5:23" x14ac:dyDescent="0.25">
      <c r="E42" s="8" t="s">
        <v>81</v>
      </c>
      <c r="F42" s="8"/>
      <c r="G42" s="28">
        <f>O27</f>
        <v>3283</v>
      </c>
      <c r="I42" s="8" t="s">
        <v>81</v>
      </c>
      <c r="J42" s="8"/>
      <c r="K42" s="28">
        <f>O27</f>
        <v>3283</v>
      </c>
    </row>
    <row r="43" spans="5:23" x14ac:dyDescent="0.25">
      <c r="E43" s="8" t="s">
        <v>82</v>
      </c>
      <c r="F43" s="8"/>
      <c r="G43" s="28">
        <f t="shared" ref="G43:G53" si="13">O28</f>
        <v>4508</v>
      </c>
      <c r="I43" s="8" t="s">
        <v>82</v>
      </c>
      <c r="J43" s="8"/>
      <c r="K43" s="28">
        <f t="shared" ref="K43:K53" si="14">O28</f>
        <v>4508</v>
      </c>
    </row>
    <row r="44" spans="5:23" x14ac:dyDescent="0.25">
      <c r="E44" s="8" t="s">
        <v>83</v>
      </c>
      <c r="F44" s="8"/>
      <c r="G44" s="28">
        <f t="shared" si="13"/>
        <v>5096</v>
      </c>
      <c r="I44" s="8" t="s">
        <v>83</v>
      </c>
      <c r="J44" s="8"/>
      <c r="K44" s="28">
        <f t="shared" si="14"/>
        <v>5096</v>
      </c>
    </row>
    <row r="45" spans="5:23" x14ac:dyDescent="0.25">
      <c r="E45" s="8" t="s">
        <v>84</v>
      </c>
      <c r="F45" s="82" t="s">
        <v>96</v>
      </c>
      <c r="G45" s="28">
        <f t="shared" si="13"/>
        <v>1470</v>
      </c>
      <c r="I45" s="8" t="s">
        <v>84</v>
      </c>
      <c r="J45" s="82" t="s">
        <v>96</v>
      </c>
      <c r="K45" s="28">
        <f t="shared" si="14"/>
        <v>1470</v>
      </c>
    </row>
    <row r="46" spans="5:23" x14ac:dyDescent="0.25">
      <c r="E46" s="8" t="s">
        <v>85</v>
      </c>
      <c r="F46" s="8"/>
      <c r="G46" s="28"/>
      <c r="I46" s="8" t="s">
        <v>85</v>
      </c>
      <c r="J46" s="8"/>
      <c r="K46" s="28"/>
    </row>
    <row r="47" spans="5:23" x14ac:dyDescent="0.25">
      <c r="E47" s="8" t="s">
        <v>86</v>
      </c>
      <c r="F47" s="8"/>
      <c r="G47" s="28"/>
      <c r="I47" s="8" t="s">
        <v>86</v>
      </c>
      <c r="J47" s="8"/>
      <c r="K47" s="28"/>
    </row>
    <row r="48" spans="5:23" x14ac:dyDescent="0.25">
      <c r="E48" s="8" t="s">
        <v>87</v>
      </c>
      <c r="F48" s="17" t="s">
        <v>95</v>
      </c>
      <c r="G48" s="28">
        <f t="shared" si="13"/>
        <v>590</v>
      </c>
      <c r="I48" s="8" t="s">
        <v>87</v>
      </c>
      <c r="J48" s="17" t="s">
        <v>95</v>
      </c>
      <c r="K48" s="28">
        <f t="shared" si="14"/>
        <v>590</v>
      </c>
    </row>
    <row r="49" spans="5:11" x14ac:dyDescent="0.25">
      <c r="E49" s="8" t="s">
        <v>88</v>
      </c>
      <c r="F49" s="8"/>
      <c r="G49" s="28">
        <f t="shared" si="13"/>
        <v>1121</v>
      </c>
      <c r="I49" s="8" t="s">
        <v>88</v>
      </c>
      <c r="J49" s="8"/>
      <c r="K49" s="28">
        <f t="shared" si="14"/>
        <v>1121</v>
      </c>
    </row>
    <row r="50" spans="5:11" x14ac:dyDescent="0.25">
      <c r="E50" s="8" t="s">
        <v>89</v>
      </c>
      <c r="F50" s="8"/>
      <c r="G50" s="28">
        <f t="shared" si="13"/>
        <v>1947</v>
      </c>
      <c r="I50" s="8" t="s">
        <v>89</v>
      </c>
      <c r="J50" s="8"/>
      <c r="K50" s="28">
        <f t="shared" si="14"/>
        <v>1947</v>
      </c>
    </row>
    <row r="51" spans="5:11" x14ac:dyDescent="0.25">
      <c r="E51" s="8" t="s">
        <v>90</v>
      </c>
      <c r="F51" s="8"/>
      <c r="G51" s="28">
        <f t="shared" si="13"/>
        <v>2600</v>
      </c>
      <c r="I51" s="8" t="s">
        <v>90</v>
      </c>
      <c r="J51" s="8"/>
      <c r="K51" s="28">
        <f t="shared" si="14"/>
        <v>2600</v>
      </c>
    </row>
    <row r="52" spans="5:11" x14ac:dyDescent="0.25">
      <c r="E52" s="8" t="s">
        <v>91</v>
      </c>
      <c r="F52" s="8"/>
      <c r="G52" s="28">
        <f t="shared" si="13"/>
        <v>3692</v>
      </c>
      <c r="I52" s="8" t="s">
        <v>91</v>
      </c>
      <c r="J52" s="8"/>
      <c r="K52" s="28">
        <f t="shared" si="14"/>
        <v>3692</v>
      </c>
    </row>
    <row r="53" spans="5:11" x14ac:dyDescent="0.25">
      <c r="E53" s="8" t="s">
        <v>92</v>
      </c>
      <c r="F53" s="8"/>
      <c r="G53" s="28">
        <f t="shared" si="13"/>
        <v>4056</v>
      </c>
      <c r="I53" s="8" t="s">
        <v>92</v>
      </c>
      <c r="J53" s="8"/>
      <c r="K53" s="28">
        <f t="shared" si="14"/>
        <v>4056</v>
      </c>
    </row>
  </sheetData>
  <mergeCells count="16">
    <mergeCell ref="U25:W25"/>
    <mergeCell ref="G6:R6"/>
    <mergeCell ref="U6:V6"/>
    <mergeCell ref="U7:V7"/>
    <mergeCell ref="M10:O10"/>
    <mergeCell ref="Q10:S10"/>
    <mergeCell ref="U10:W10"/>
    <mergeCell ref="G1:R4"/>
    <mergeCell ref="E10:G10"/>
    <mergeCell ref="I10:K10"/>
    <mergeCell ref="E40:G40"/>
    <mergeCell ref="I40:K40"/>
    <mergeCell ref="E25:G25"/>
    <mergeCell ref="I25:K25"/>
    <mergeCell ref="M25:O25"/>
    <mergeCell ref="Q25:S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Início</vt:lpstr>
      <vt:lpstr>METAS</vt:lpstr>
      <vt:lpstr>SISTEMA</vt:lpstr>
      <vt:lpstr>PREÇO</vt:lpstr>
      <vt:lpstr>CAPACIDADE PRODUTIVA</vt:lpstr>
      <vt:lpstr>MANEJO ALIMENTAR</vt:lpstr>
      <vt:lpstr>DIMENSIONAMENTO DAS DESPESCAS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CCE</cp:lastModifiedBy>
  <dcterms:created xsi:type="dcterms:W3CDTF">2017-06-03T03:30:28Z</dcterms:created>
  <dcterms:modified xsi:type="dcterms:W3CDTF">2017-06-16T21:17:33Z</dcterms:modified>
</cp:coreProperties>
</file>