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3"/>
  </bookViews>
  <sheets>
    <sheet name="CUSTOS" sheetId="1" r:id="rId1"/>
    <sheet name="INVESTIMENTO" sheetId="5" r:id="rId2"/>
    <sheet name="RECEITA" sheetId="2" r:id="rId3"/>
    <sheet name="FLUXO DE CAIXA" sheetId="3" r:id="rId4"/>
  </sheets>
  <calcPr calcId="145621"/>
</workbook>
</file>

<file path=xl/calcChain.xml><?xml version="1.0" encoding="utf-8"?>
<calcChain xmlns="http://schemas.openxmlformats.org/spreadsheetml/2006/main">
  <c r="B21" i="3" l="1"/>
  <c r="E13" i="2"/>
  <c r="B16" i="3" l="1"/>
  <c r="D13" i="3"/>
  <c r="E12" i="2"/>
  <c r="C13" i="3" s="1"/>
  <c r="K9" i="3"/>
  <c r="J9" i="3"/>
  <c r="I9" i="3"/>
  <c r="H9" i="3"/>
  <c r="G9" i="3"/>
  <c r="F9" i="3"/>
  <c r="E9" i="3"/>
  <c r="D9" i="3"/>
  <c r="C9" i="3"/>
  <c r="F34" i="1"/>
  <c r="F23" i="1"/>
  <c r="F30" i="1"/>
  <c r="H18" i="5" l="1"/>
  <c r="F18" i="1"/>
  <c r="L24" i="5"/>
  <c r="J30" i="1"/>
  <c r="B8" i="3"/>
  <c r="J21" i="5"/>
  <c r="F29" i="1" s="1"/>
  <c r="E8" i="5"/>
  <c r="D9" i="5" l="1"/>
  <c r="D10" i="5"/>
  <c r="E10" i="5" s="1"/>
  <c r="G10" i="5" s="1"/>
  <c r="D11" i="5"/>
  <c r="E11" i="5" s="1"/>
  <c r="G11" i="5" s="1"/>
  <c r="D12" i="5"/>
  <c r="E12" i="5" s="1"/>
  <c r="G12" i="5" s="1"/>
  <c r="D13" i="5"/>
  <c r="E13" i="5" s="1"/>
  <c r="G13" i="5" s="1"/>
  <c r="D14" i="5"/>
  <c r="E14" i="5" s="1"/>
  <c r="G14" i="5" s="1"/>
  <c r="D15" i="5"/>
  <c r="E15" i="5" s="1"/>
  <c r="G15" i="5" s="1"/>
  <c r="D16" i="5"/>
  <c r="E16" i="5" s="1"/>
  <c r="G16" i="5" s="1"/>
  <c r="D17" i="5"/>
  <c r="E17" i="5" s="1"/>
  <c r="G17" i="5" s="1"/>
  <c r="C18" i="5"/>
  <c r="F26" i="1"/>
  <c r="J29" i="1" s="1"/>
  <c r="F24" i="1"/>
  <c r="F42" i="1"/>
  <c r="I18" i="5" l="1"/>
  <c r="I21" i="5" s="1"/>
  <c r="D18" i="5"/>
  <c r="E18" i="5" s="1"/>
  <c r="E9" i="5"/>
  <c r="G9" i="5" s="1"/>
  <c r="G18" i="5" s="1"/>
  <c r="F28" i="1" s="1"/>
  <c r="F11" i="1"/>
  <c r="F10" i="1"/>
  <c r="F41" i="1"/>
  <c r="F9" i="1"/>
  <c r="F7" i="1"/>
  <c r="F6" i="1"/>
  <c r="F5" i="1"/>
  <c r="F4" i="1"/>
  <c r="F3" i="1"/>
  <c r="K10" i="5" l="1"/>
  <c r="K21" i="5"/>
  <c r="F31" i="1"/>
  <c r="F13" i="1"/>
  <c r="F46" i="1"/>
  <c r="F45" i="1"/>
  <c r="F49" i="1"/>
  <c r="F43" i="1"/>
  <c r="F37" i="1"/>
  <c r="J10" i="3" l="1"/>
  <c r="J11" i="3" s="1"/>
  <c r="F10" i="3"/>
  <c r="F11" i="3" s="1"/>
  <c r="I10" i="3"/>
  <c r="I11" i="3" s="1"/>
  <c r="E10" i="3"/>
  <c r="E11" i="3" s="1"/>
  <c r="H10" i="3"/>
  <c r="H11" i="3" s="1"/>
  <c r="D10" i="3"/>
  <c r="D11" i="3" s="1"/>
  <c r="K10" i="3"/>
  <c r="K11" i="3" s="1"/>
  <c r="G10" i="3"/>
  <c r="G11" i="3" s="1"/>
  <c r="C10" i="3"/>
  <c r="E29" i="2"/>
  <c r="K14" i="3" s="1"/>
  <c r="E28" i="2"/>
  <c r="J14" i="3" s="1"/>
  <c r="E27" i="2"/>
  <c r="I14" i="3" s="1"/>
  <c r="E26" i="2"/>
  <c r="H14" i="3" s="1"/>
  <c r="E25" i="2"/>
  <c r="G14" i="3" s="1"/>
  <c r="E24" i="2"/>
  <c r="F14" i="3" s="1"/>
  <c r="E23" i="2"/>
  <c r="E14" i="3" s="1"/>
  <c r="E22" i="2"/>
  <c r="D14" i="3" s="1"/>
  <c r="E21" i="2"/>
  <c r="C14" i="3" s="1"/>
  <c r="E20" i="2"/>
  <c r="K13" i="3" s="1"/>
  <c r="E19" i="2"/>
  <c r="J13" i="3" s="1"/>
  <c r="E18" i="2"/>
  <c r="I13" i="3" s="1"/>
  <c r="E17" i="2"/>
  <c r="H13" i="3" s="1"/>
  <c r="E16" i="2"/>
  <c r="G13" i="3" s="1"/>
  <c r="E15" i="2"/>
  <c r="F13" i="3" s="1"/>
  <c r="E14" i="2"/>
  <c r="E13" i="3" s="1"/>
  <c r="E11" i="2"/>
  <c r="K12" i="3" s="1"/>
  <c r="E10" i="2"/>
  <c r="J12" i="3" s="1"/>
  <c r="E9" i="2"/>
  <c r="I12" i="3" s="1"/>
  <c r="E8" i="2"/>
  <c r="H12" i="3" s="1"/>
  <c r="E7" i="2"/>
  <c r="G12" i="3" s="1"/>
  <c r="E6" i="2"/>
  <c r="F12" i="3" s="1"/>
  <c r="E5" i="2"/>
  <c r="E12" i="3" s="1"/>
  <c r="E4" i="2"/>
  <c r="D12" i="3" s="1"/>
  <c r="E3" i="2"/>
  <c r="C12" i="3" s="1"/>
  <c r="F40" i="1"/>
  <c r="F39" i="1"/>
  <c r="F38" i="1"/>
  <c r="F17" i="1"/>
  <c r="C11" i="3" l="1"/>
  <c r="L11" i="3" s="1"/>
  <c r="D15" i="3"/>
  <c r="D16" i="3" s="1"/>
  <c r="J15" i="3"/>
  <c r="J16" i="3" s="1"/>
  <c r="K15" i="3"/>
  <c r="K16" i="3" s="1"/>
  <c r="G15" i="3"/>
  <c r="G16" i="3" s="1"/>
  <c r="F15" i="3"/>
  <c r="F16" i="3" s="1"/>
  <c r="E15" i="3"/>
  <c r="E16" i="3" s="1"/>
  <c r="C15" i="3"/>
  <c r="I15" i="3"/>
  <c r="I16" i="3" s="1"/>
  <c r="H15" i="3"/>
  <c r="H16" i="3" s="1"/>
  <c r="E30" i="2"/>
  <c r="F51" i="1"/>
  <c r="E35" i="2"/>
  <c r="E33" i="2"/>
  <c r="E37" i="2"/>
  <c r="E31" i="2"/>
  <c r="J28" i="1" s="1"/>
  <c r="J31" i="1" s="1"/>
  <c r="E32" i="2"/>
  <c r="E36" i="2"/>
  <c r="E34" i="2"/>
  <c r="E38" i="2"/>
  <c r="C16" i="3" l="1"/>
  <c r="C20" i="3" s="1"/>
  <c r="D20" i="3" s="1"/>
  <c r="B28" i="3"/>
  <c r="L15" i="3"/>
  <c r="B27" i="3" l="1"/>
  <c r="C21" i="3"/>
  <c r="C22" i="3" s="1"/>
  <c r="D21" i="3"/>
  <c r="E20" i="3"/>
  <c r="D22" i="3" l="1"/>
  <c r="E21" i="3"/>
  <c r="E22" i="3" s="1"/>
  <c r="F20" i="3"/>
  <c r="F21" i="3" l="1"/>
  <c r="F22" i="3" s="1"/>
  <c r="G20" i="3"/>
  <c r="B29" i="3" s="1"/>
  <c r="G21" i="3" l="1"/>
  <c r="G22" i="3" s="1"/>
  <c r="H20" i="3"/>
  <c r="H21" i="3" l="1"/>
  <c r="H22" i="3" s="1"/>
  <c r="I20" i="3"/>
  <c r="J20" i="3" l="1"/>
  <c r="I21" i="3"/>
  <c r="I22" i="3" s="1"/>
  <c r="K20" i="3" l="1"/>
  <c r="K21" i="3" s="1"/>
  <c r="J21" i="3"/>
  <c r="J22" i="3" s="1"/>
  <c r="K22" i="3" l="1"/>
</calcChain>
</file>

<file path=xl/sharedStrings.xml><?xml version="1.0" encoding="utf-8"?>
<sst xmlns="http://schemas.openxmlformats.org/spreadsheetml/2006/main" count="182" uniqueCount="102">
  <si>
    <t>CUSTOS FIXOS (CF)</t>
  </si>
  <si>
    <t>QUANTIDADE</t>
  </si>
  <si>
    <t>UNIDADE</t>
  </si>
  <si>
    <t>CUSTO UNITÁRIO</t>
  </si>
  <si>
    <t>Água</t>
  </si>
  <si>
    <t>Energia</t>
  </si>
  <si>
    <t>w</t>
  </si>
  <si>
    <t>Combustível</t>
  </si>
  <si>
    <t>l</t>
  </si>
  <si>
    <t>Estufa</t>
  </si>
  <si>
    <t>m²</t>
  </si>
  <si>
    <t>Tanques</t>
  </si>
  <si>
    <t>Bomba 0,5 CV</t>
  </si>
  <si>
    <t>Bomba 1,0 CV</t>
  </si>
  <si>
    <t>Aerador</t>
  </si>
  <si>
    <t>Material escritório</t>
  </si>
  <si>
    <t>Gerador</t>
  </si>
  <si>
    <t>Rede elétrica</t>
  </si>
  <si>
    <t>Rede hidráulica</t>
  </si>
  <si>
    <t>Construções</t>
  </si>
  <si>
    <t>Calhas</t>
  </si>
  <si>
    <t>TOTAL (CF)</t>
  </si>
  <si>
    <t>Alevinos</t>
  </si>
  <si>
    <t>Ração</t>
  </si>
  <si>
    <t>Mudas de hortaliças</t>
  </si>
  <si>
    <t>Terra preta</t>
  </si>
  <si>
    <t>kg</t>
  </si>
  <si>
    <t>Material banheiros e limpeza</t>
  </si>
  <si>
    <t>TOTAL (CV)</t>
  </si>
  <si>
    <t>TOTAL (CF+CV)</t>
  </si>
  <si>
    <t>RECEITA ANUAL (9 ANOS - média) AQUAPONIA NILOSUL</t>
  </si>
  <si>
    <t>VALOR UNITÁRIO</t>
  </si>
  <si>
    <t xml:space="preserve">SALDO </t>
  </si>
  <si>
    <t>RECEITA ANUAL TILÁPIAS</t>
  </si>
  <si>
    <t>TILÁPIAS</t>
  </si>
  <si>
    <t>HORTALIÇAS</t>
  </si>
  <si>
    <t>ORIENTAÇÕES</t>
  </si>
  <si>
    <t>RECEITA ANUAL HORTALIÇAS</t>
  </si>
  <si>
    <t xml:space="preserve">RECEITA ANUAL ORIENTAÇÕES </t>
  </si>
  <si>
    <t>RECEITA ANUAL TOTAL</t>
  </si>
  <si>
    <t>Custo Total</t>
  </si>
  <si>
    <t>Receita Total</t>
  </si>
  <si>
    <t>SALDO</t>
  </si>
  <si>
    <t>INVESTIMENTO</t>
  </si>
  <si>
    <t>Imóvel</t>
  </si>
  <si>
    <t>PARCELAS RESTANTES</t>
  </si>
  <si>
    <t>JUROS</t>
  </si>
  <si>
    <t>TOTAL</t>
  </si>
  <si>
    <t>VALOR NOVO</t>
  </si>
  <si>
    <t>VALOR SUCATA</t>
  </si>
  <si>
    <t>-</t>
  </si>
  <si>
    <t>FINANCIAMENTO</t>
  </si>
  <si>
    <t>CUSTOS VARIÁVEIS  (CV)</t>
  </si>
  <si>
    <t>Telefonia +  Internet</t>
  </si>
  <si>
    <t>12,25% a.a</t>
  </si>
  <si>
    <t>INVESTIMENTOS</t>
  </si>
  <si>
    <t>INVESTIDO</t>
  </si>
  <si>
    <t>Mão-de-obra</t>
  </si>
  <si>
    <t>Regador</t>
  </si>
  <si>
    <t>Mangueira</t>
  </si>
  <si>
    <t>Conjunto de ferramentas para jardim</t>
  </si>
  <si>
    <t>Vassoura</t>
  </si>
  <si>
    <t>Rodo</t>
  </si>
  <si>
    <t>Embalagem hortaliças</t>
  </si>
  <si>
    <t>horas</t>
  </si>
  <si>
    <t>TOTAL INVESTIMENTOS</t>
  </si>
  <si>
    <t>Balança</t>
  </si>
  <si>
    <t>Passaguá</t>
  </si>
  <si>
    <t>unid</t>
  </si>
  <si>
    <t>CUSTO DE OPORTUNIDADE</t>
  </si>
  <si>
    <t>CUSTO DE CAPITAL</t>
  </si>
  <si>
    <t>VIDA UTIL</t>
  </si>
  <si>
    <t>DEPRECIAÇÃO ANUAL</t>
  </si>
  <si>
    <t>MANUTENÇÃO</t>
  </si>
  <si>
    <t>Investimento</t>
  </si>
  <si>
    <t>Custo fixo</t>
  </si>
  <si>
    <t>Custo variável</t>
  </si>
  <si>
    <t>Custo de Capital</t>
  </si>
  <si>
    <t>Manutenção</t>
  </si>
  <si>
    <t>Custo de Oportunidade</t>
  </si>
  <si>
    <t>Depreciação</t>
  </si>
  <si>
    <t>Impostos</t>
  </si>
  <si>
    <t>VALOR</t>
  </si>
  <si>
    <t>IMPOSTOS</t>
  </si>
  <si>
    <t>INSS</t>
  </si>
  <si>
    <t>ITR</t>
  </si>
  <si>
    <t>ALÍQUOTA</t>
  </si>
  <si>
    <t>Simples Nacional</t>
  </si>
  <si>
    <t>120X</t>
  </si>
  <si>
    <t>Receita tilápias</t>
  </si>
  <si>
    <t>Receita hortaliças</t>
  </si>
  <si>
    <t>Receita orientações</t>
  </si>
  <si>
    <t>FLUXO DE CAIXA - AQUAPONIA NILOSUL</t>
  </si>
  <si>
    <t>INDICADORES FINANCEIROS</t>
  </si>
  <si>
    <t>VPL (Valor Presente Líquido)</t>
  </si>
  <si>
    <t>TIR (Taxa Interna de Retorno)</t>
  </si>
  <si>
    <t>Taxa Mínima de Atratividade</t>
  </si>
  <si>
    <t>PayBack Simples:</t>
  </si>
  <si>
    <t>FLUXO DESCONTADO</t>
  </si>
  <si>
    <t>SALDO FLUXO DESCONTADO</t>
  </si>
  <si>
    <t>pés</t>
  </si>
  <si>
    <t>Cálculo de Payback: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</si>
</sst>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Border="1"/>
    <xf numFmtId="8" fontId="0" fillId="2" borderId="3" xfId="1" applyNumberFormat="1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6" fontId="0" fillId="0" borderId="0" xfId="0" applyNumberFormat="1" applyBorder="1"/>
    <xf numFmtId="8" fontId="0" fillId="0" borderId="0" xfId="0" applyNumberFormat="1" applyBorder="1"/>
    <xf numFmtId="0" fontId="0" fillId="0" borderId="0" xfId="0" applyFill="1" applyBorder="1"/>
    <xf numFmtId="8" fontId="0" fillId="0" borderId="0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44" fontId="0" fillId="5" borderId="0" xfId="1" applyFont="1" applyFill="1" applyAlignment="1">
      <alignment horizontal="center"/>
    </xf>
    <xf numFmtId="44" fontId="0" fillId="5" borderId="0" xfId="0" applyNumberFormat="1" applyFill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44" fontId="0" fillId="5" borderId="0" xfId="1" applyFont="1" applyFill="1"/>
    <xf numFmtId="0" fontId="0" fillId="4" borderId="0" xfId="0" applyFill="1"/>
    <xf numFmtId="44" fontId="0" fillId="4" borderId="0" xfId="1" applyFont="1" applyFill="1" applyAlignment="1">
      <alignment horizontal="center"/>
    </xf>
    <xf numFmtId="44" fontId="0" fillId="4" borderId="0" xfId="0" applyNumberFormat="1" applyFill="1"/>
    <xf numFmtId="0" fontId="0" fillId="6" borderId="0" xfId="0" applyFill="1"/>
    <xf numFmtId="44" fontId="0" fillId="6" borderId="0" xfId="1" applyFont="1" applyFill="1"/>
    <xf numFmtId="44" fontId="0" fillId="6" borderId="0" xfId="0" applyNumberFormat="1" applyFill="1"/>
    <xf numFmtId="0" fontId="4" fillId="0" borderId="0" xfId="0" applyFont="1"/>
    <xf numFmtId="44" fontId="4" fillId="0" borderId="0" xfId="1" applyFont="1"/>
    <xf numFmtId="44" fontId="4" fillId="0" borderId="0" xfId="0" applyNumberFormat="1" applyFont="1"/>
    <xf numFmtId="44" fontId="4" fillId="0" borderId="0" xfId="0" applyNumberFormat="1" applyFont="1" applyFill="1"/>
    <xf numFmtId="0" fontId="5" fillId="0" borderId="0" xfId="0" applyFont="1"/>
    <xf numFmtId="0" fontId="0" fillId="0" borderId="0" xfId="0" applyAlignment="1"/>
    <xf numFmtId="44" fontId="0" fillId="0" borderId="0" xfId="0" applyNumberFormat="1"/>
    <xf numFmtId="44" fontId="5" fillId="0" borderId="0" xfId="0" applyNumberFormat="1" applyFont="1"/>
    <xf numFmtId="8" fontId="0" fillId="3" borderId="5" xfId="0" applyNumberFormat="1" applyFill="1" applyBorder="1"/>
    <xf numFmtId="0" fontId="0" fillId="2" borderId="0" xfId="0" applyFill="1"/>
    <xf numFmtId="10" fontId="0" fillId="0" borderId="0" xfId="0" applyNumberFormat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8" fontId="0" fillId="2" borderId="3" xfId="0" applyNumberFormat="1" applyFill="1" applyBorder="1"/>
    <xf numFmtId="6" fontId="0" fillId="2" borderId="3" xfId="0" applyNumberFormat="1" applyFill="1" applyBorder="1"/>
    <xf numFmtId="8" fontId="0" fillId="2" borderId="4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3" fillId="7" borderId="1" xfId="0" applyFont="1" applyFill="1" applyBorder="1"/>
    <xf numFmtId="0" fontId="0" fillId="7" borderId="1" xfId="0" applyFill="1" applyBorder="1"/>
    <xf numFmtId="0" fontId="0" fillId="7" borderId="5" xfId="0" applyFill="1" applyBorder="1"/>
    <xf numFmtId="8" fontId="0" fillId="7" borderId="5" xfId="0" applyNumberFormat="1" applyFill="1" applyBorder="1"/>
    <xf numFmtId="0" fontId="0" fillId="3" borderId="5" xfId="0" applyFill="1" applyBorder="1"/>
    <xf numFmtId="8" fontId="0" fillId="2" borderId="6" xfId="0" applyNumberFormat="1" applyFill="1" applyBorder="1"/>
    <xf numFmtId="0" fontId="3" fillId="3" borderId="2" xfId="0" applyFont="1" applyFill="1" applyBorder="1"/>
    <xf numFmtId="44" fontId="0" fillId="2" borderId="1" xfId="0" applyNumberFormat="1" applyFill="1" applyBorder="1"/>
    <xf numFmtId="44" fontId="0" fillId="2" borderId="1" xfId="1" applyFont="1" applyFill="1" applyBorder="1"/>
    <xf numFmtId="0" fontId="0" fillId="2" borderId="0" xfId="0" applyFill="1" applyBorder="1" applyAlignment="1">
      <alignment horizontal="center"/>
    </xf>
    <xf numFmtId="8" fontId="0" fillId="2" borderId="0" xfId="0" applyNumberFormat="1" applyFill="1" applyBorder="1"/>
    <xf numFmtId="0" fontId="2" fillId="2" borderId="0" xfId="0" applyFont="1" applyFill="1" applyBorder="1" applyAlignment="1">
      <alignment horizontal="center"/>
    </xf>
    <xf numFmtId="6" fontId="0" fillId="2" borderId="0" xfId="0" applyNumberFormat="1" applyFill="1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3" fillId="9" borderId="1" xfId="0" applyFont="1" applyFill="1" applyBorder="1"/>
    <xf numFmtId="0" fontId="0" fillId="9" borderId="1" xfId="0" applyFill="1" applyBorder="1"/>
    <xf numFmtId="0" fontId="0" fillId="9" borderId="5" xfId="0" applyFill="1" applyBorder="1"/>
    <xf numFmtId="8" fontId="0" fillId="9" borderId="5" xfId="0" applyNumberFormat="1" applyFill="1" applyBorder="1"/>
    <xf numFmtId="0" fontId="0" fillId="2" borderId="0" xfId="0" applyFill="1" applyAlignment="1"/>
    <xf numFmtId="44" fontId="0" fillId="2" borderId="0" xfId="1" applyFont="1" applyFill="1" applyBorder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6" fillId="2" borderId="4" xfId="0" applyFont="1" applyFill="1" applyBorder="1" applyAlignment="1">
      <alignment horizontal="center"/>
    </xf>
    <xf numFmtId="8" fontId="0" fillId="2" borderId="9" xfId="0" applyNumberFormat="1" applyFill="1" applyBorder="1"/>
    <xf numFmtId="6" fontId="0" fillId="2" borderId="4" xfId="0" applyNumberFormat="1" applyFill="1" applyBorder="1"/>
    <xf numFmtId="8" fontId="0" fillId="2" borderId="7" xfId="0" applyNumberFormat="1" applyFill="1" applyBorder="1"/>
    <xf numFmtId="0" fontId="0" fillId="0" borderId="6" xfId="0" applyBorder="1"/>
    <xf numFmtId="0" fontId="0" fillId="2" borderId="1" xfId="0" applyFill="1" applyBorder="1"/>
    <xf numFmtId="44" fontId="0" fillId="0" borderId="8" xfId="1" applyFont="1" applyBorder="1"/>
    <xf numFmtId="44" fontId="0" fillId="2" borderId="9" xfId="1" applyFont="1" applyFill="1" applyBorder="1"/>
    <xf numFmtId="44" fontId="0" fillId="7" borderId="8" xfId="1" applyFont="1" applyFill="1" applyBorder="1"/>
    <xf numFmtId="44" fontId="0" fillId="2" borderId="10" xfId="1" applyFont="1" applyFill="1" applyBorder="1"/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44" fontId="0" fillId="4" borderId="8" xfId="1" applyFont="1" applyFill="1" applyBorder="1"/>
    <xf numFmtId="9" fontId="0" fillId="0" borderId="3" xfId="0" applyNumberFormat="1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9" xfId="1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8" borderId="1" xfId="0" applyNumberFormat="1" applyFill="1" applyBorder="1"/>
    <xf numFmtId="0" fontId="0" fillId="10" borderId="5" xfId="0" applyFill="1" applyBorder="1"/>
    <xf numFmtId="8" fontId="0" fillId="10" borderId="5" xfId="0" applyNumberFormat="1" applyFill="1" applyBorder="1"/>
    <xf numFmtId="0" fontId="0" fillId="3" borderId="9" xfId="0" applyFill="1" applyBorder="1" applyAlignment="1">
      <alignment horizontal="center"/>
    </xf>
    <xf numFmtId="44" fontId="0" fillId="2" borderId="0" xfId="0" applyNumberFormat="1" applyFill="1"/>
    <xf numFmtId="44" fontId="0" fillId="2" borderId="1" xfId="1" applyFont="1" applyFill="1" applyBorder="1" applyAlignment="1">
      <alignment horizontal="center"/>
    </xf>
    <xf numFmtId="8" fontId="0" fillId="2" borderId="1" xfId="0" applyNumberFormat="1" applyFill="1" applyBorder="1"/>
    <xf numFmtId="164" fontId="0" fillId="2" borderId="1" xfId="2" applyNumberFormat="1" applyFont="1" applyFill="1" applyBorder="1" applyAlignment="1">
      <alignment horizontal="center" vertical="center"/>
    </xf>
    <xf numFmtId="44" fontId="0" fillId="2" borderId="0" xfId="0" applyNumberFormat="1" applyFill="1" applyBorder="1"/>
    <xf numFmtId="0" fontId="6" fillId="2" borderId="1" xfId="0" applyFont="1" applyFill="1" applyBorder="1" applyAlignment="1">
      <alignment horizontal="center"/>
    </xf>
    <xf numFmtId="6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44" fontId="0" fillId="0" borderId="1" xfId="0" applyNumberFormat="1" applyBorder="1"/>
    <xf numFmtId="0" fontId="0" fillId="3" borderId="1" xfId="0" applyFill="1" applyBorder="1"/>
    <xf numFmtId="9" fontId="0" fillId="2" borderId="1" xfId="0" applyNumberFormat="1" applyFill="1" applyBorder="1"/>
    <xf numFmtId="8" fontId="0" fillId="0" borderId="1" xfId="0" applyNumberFormat="1" applyBorder="1"/>
    <xf numFmtId="3" fontId="0" fillId="2" borderId="1" xfId="0" applyNumberFormat="1" applyFill="1" applyBorder="1"/>
    <xf numFmtId="44" fontId="0" fillId="3" borderId="1" xfId="0" applyNumberFormat="1" applyFill="1" applyBorder="1"/>
    <xf numFmtId="44" fontId="0" fillId="0" borderId="3" xfId="1" applyFont="1" applyBorder="1"/>
    <xf numFmtId="44" fontId="0" fillId="0" borderId="2" xfId="1" applyFont="1" applyBorder="1"/>
    <xf numFmtId="6" fontId="0" fillId="2" borderId="1" xfId="0" applyNumberFormat="1" applyFill="1" applyBorder="1" applyAlignment="1">
      <alignment horizontal="center"/>
    </xf>
    <xf numFmtId="44" fontId="0" fillId="15" borderId="1" xfId="0" applyNumberFormat="1" applyFill="1" applyBorder="1"/>
    <xf numFmtId="44" fontId="0" fillId="4" borderId="0" xfId="0" applyNumberFormat="1" applyFill="1" applyBorder="1"/>
    <xf numFmtId="0" fontId="3" fillId="14" borderId="0" xfId="0" applyFont="1" applyFill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44" fontId="5" fillId="2" borderId="0" xfId="1" applyFont="1" applyFill="1" applyBorder="1"/>
    <xf numFmtId="44" fontId="0" fillId="12" borderId="1" xfId="0" applyNumberFormat="1" applyFill="1" applyBorder="1" applyAlignment="1"/>
    <xf numFmtId="0" fontId="8" fillId="0" borderId="0" xfId="0" applyFont="1"/>
    <xf numFmtId="0" fontId="9" fillId="14" borderId="0" xfId="0" applyFont="1" applyFill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8" fillId="13" borderId="1" xfId="0" applyFont="1" applyFill="1" applyBorder="1"/>
    <xf numFmtId="44" fontId="9" fillId="13" borderId="1" xfId="0" applyNumberFormat="1" applyFont="1" applyFill="1" applyBorder="1" applyAlignment="1"/>
    <xf numFmtId="44" fontId="9" fillId="13" borderId="1" xfId="1" applyFont="1" applyFill="1" applyBorder="1" applyAlignment="1"/>
    <xf numFmtId="44" fontId="9" fillId="13" borderId="1" xfId="1" applyFont="1" applyFill="1" applyBorder="1" applyAlignment="1">
      <alignment horizontal="right"/>
    </xf>
    <xf numFmtId="8" fontId="9" fillId="13" borderId="1" xfId="0" applyNumberFormat="1" applyFont="1" applyFill="1" applyBorder="1" applyAlignment="1"/>
    <xf numFmtId="8" fontId="9" fillId="13" borderId="1" xfId="0" applyNumberFormat="1" applyFont="1" applyFill="1" applyBorder="1" applyAlignment="1">
      <alignment horizontal="right"/>
    </xf>
    <xf numFmtId="0" fontId="8" fillId="12" borderId="1" xfId="0" applyFont="1" applyFill="1" applyBorder="1"/>
    <xf numFmtId="44" fontId="8" fillId="12" borderId="1" xfId="0" applyNumberFormat="1" applyFont="1" applyFill="1" applyBorder="1"/>
    <xf numFmtId="0" fontId="8" fillId="14" borderId="1" xfId="0" applyFont="1" applyFill="1" applyBorder="1"/>
    <xf numFmtId="44" fontId="8" fillId="14" borderId="1" xfId="0" applyNumberFormat="1" applyFont="1" applyFill="1" applyBorder="1"/>
    <xf numFmtId="0" fontId="8" fillId="15" borderId="2" xfId="0" applyFont="1" applyFill="1" applyBorder="1"/>
    <xf numFmtId="44" fontId="8" fillId="15" borderId="2" xfId="0" applyNumberFormat="1" applyFont="1" applyFill="1" applyBorder="1"/>
    <xf numFmtId="44" fontId="8" fillId="15" borderId="2" xfId="1" applyFont="1" applyFill="1" applyBorder="1"/>
    <xf numFmtId="0" fontId="10" fillId="0" borderId="12" xfId="0" applyFont="1" applyBorder="1"/>
    <xf numFmtId="44" fontId="8" fillId="2" borderId="13" xfId="0" applyNumberFormat="1" applyFont="1" applyFill="1" applyBorder="1"/>
    <xf numFmtId="8" fontId="0" fillId="2" borderId="1" xfId="0" applyNumberFormat="1" applyFill="1" applyBorder="1" applyAlignment="1">
      <alignment horizontal="center"/>
    </xf>
    <xf numFmtId="0" fontId="0" fillId="16" borderId="1" xfId="0" applyFont="1" applyFill="1" applyBorder="1"/>
    <xf numFmtId="9" fontId="0" fillId="16" borderId="1" xfId="0" applyNumberFormat="1" applyFont="1" applyFill="1" applyBorder="1"/>
    <xf numFmtId="44" fontId="0" fillId="16" borderId="1" xfId="0" applyNumberFormat="1" applyFont="1" applyFill="1" applyBorder="1"/>
    <xf numFmtId="165" fontId="0" fillId="16" borderId="1" xfId="0" applyNumberFormat="1" applyFont="1" applyFill="1" applyBorder="1" applyAlignment="1">
      <alignment horizontal="right"/>
    </xf>
    <xf numFmtId="0" fontId="10" fillId="0" borderId="0" xfId="0" applyFont="1" applyBorder="1"/>
    <xf numFmtId="44" fontId="8" fillId="2" borderId="0" xfId="0" applyNumberFormat="1" applyFont="1" applyFill="1" applyBorder="1"/>
    <xf numFmtId="44" fontId="0" fillId="0" borderId="1" xfId="1" applyFont="1" applyBorder="1"/>
    <xf numFmtId="8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44" fontId="0" fillId="11" borderId="1" xfId="1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15" borderId="14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26</xdr:row>
      <xdr:rowOff>104775</xdr:rowOff>
    </xdr:from>
    <xdr:to>
      <xdr:col>6</xdr:col>
      <xdr:colOff>733425</xdr:colOff>
      <xdr:row>26</xdr:row>
      <xdr:rowOff>114300</xdr:rowOff>
    </xdr:to>
    <xdr:cxnSp macro="">
      <xdr:nvCxnSpPr>
        <xdr:cNvPr id="4" name="Conector de seta reta 3"/>
        <xdr:cNvCxnSpPr/>
      </xdr:nvCxnSpPr>
      <xdr:spPr>
        <a:xfrm>
          <a:off x="8372475" y="5067300"/>
          <a:ext cx="5429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0</xdr:row>
      <xdr:rowOff>180975</xdr:rowOff>
    </xdr:from>
    <xdr:to>
      <xdr:col>0</xdr:col>
      <xdr:colOff>990600</xdr:colOff>
      <xdr:row>6</xdr:row>
      <xdr:rowOff>141841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0975"/>
          <a:ext cx="828675" cy="1103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4" workbookViewId="0">
      <selection activeCell="A58" sqref="A58"/>
    </sheetView>
  </sheetViews>
  <sheetFormatPr defaultRowHeight="15" x14ac:dyDescent="0.25"/>
  <cols>
    <col min="1" max="1" width="34.85546875" style="35" customWidth="1"/>
    <col min="2" max="2" width="34.42578125" bestFit="1" customWidth="1"/>
    <col min="3" max="3" width="13.85546875" bestFit="1" customWidth="1"/>
    <col min="5" max="5" width="16.140625" bestFit="1" customWidth="1"/>
    <col min="6" max="6" width="14.28515625" bestFit="1" customWidth="1"/>
    <col min="7" max="7" width="13" style="35" customWidth="1"/>
    <col min="8" max="8" width="16.85546875" style="35" customWidth="1"/>
    <col min="9" max="9" width="17.42578125" style="35" customWidth="1"/>
    <col min="10" max="10" width="13.5703125" bestFit="1" customWidth="1"/>
  </cols>
  <sheetData>
    <row r="1" spans="2:10" x14ac:dyDescent="0.25">
      <c r="B1" s="3"/>
      <c r="C1" s="3"/>
    </row>
    <row r="2" spans="2:10" x14ac:dyDescent="0.25">
      <c r="B2" s="63" t="s">
        <v>55</v>
      </c>
      <c r="C2" s="64" t="s">
        <v>1</v>
      </c>
      <c r="D2" s="64" t="s">
        <v>2</v>
      </c>
      <c r="E2" s="64" t="s">
        <v>3</v>
      </c>
      <c r="F2" s="64" t="s">
        <v>47</v>
      </c>
    </row>
    <row r="3" spans="2:10" x14ac:dyDescent="0.25">
      <c r="B3" s="38" t="s">
        <v>9</v>
      </c>
      <c r="C3" s="62">
        <v>1510</v>
      </c>
      <c r="D3" s="40" t="s">
        <v>10</v>
      </c>
      <c r="E3" s="43">
        <v>29.3</v>
      </c>
      <c r="F3" s="43">
        <f>C3*E3</f>
        <v>44243</v>
      </c>
      <c r="G3" s="57"/>
      <c r="H3" s="68"/>
      <c r="I3" s="68"/>
      <c r="J3" s="37"/>
    </row>
    <row r="4" spans="2:10" x14ac:dyDescent="0.25">
      <c r="B4" s="38" t="s">
        <v>11</v>
      </c>
      <c r="C4" s="38">
        <v>75</v>
      </c>
      <c r="D4" s="41" t="s">
        <v>10</v>
      </c>
      <c r="E4" s="44">
        <v>48</v>
      </c>
      <c r="F4" s="43">
        <f>C4*E4</f>
        <v>3600</v>
      </c>
      <c r="J4" s="35"/>
    </row>
    <row r="5" spans="2:10" x14ac:dyDescent="0.25">
      <c r="B5" s="38" t="s">
        <v>12</v>
      </c>
      <c r="C5" s="38">
        <v>4</v>
      </c>
      <c r="D5" s="40" t="s">
        <v>50</v>
      </c>
      <c r="E5" s="44">
        <v>430</v>
      </c>
      <c r="F5" s="43">
        <f>E5*C5</f>
        <v>1720</v>
      </c>
      <c r="J5" s="35"/>
    </row>
    <row r="6" spans="2:10" x14ac:dyDescent="0.25">
      <c r="B6" s="38" t="s">
        <v>13</v>
      </c>
      <c r="C6" s="38">
        <v>4</v>
      </c>
      <c r="D6" s="40" t="s">
        <v>50</v>
      </c>
      <c r="E6" s="2">
        <v>720</v>
      </c>
      <c r="F6" s="43">
        <f>E6*C6</f>
        <v>2880</v>
      </c>
      <c r="J6" s="35"/>
    </row>
    <row r="7" spans="2:10" x14ac:dyDescent="0.25">
      <c r="B7" s="38" t="s">
        <v>14</v>
      </c>
      <c r="C7" s="38">
        <v>2</v>
      </c>
      <c r="D7" s="40" t="s">
        <v>50</v>
      </c>
      <c r="E7" s="43">
        <v>2900</v>
      </c>
      <c r="F7" s="43">
        <f>C7*E7</f>
        <v>5800</v>
      </c>
      <c r="J7" s="35"/>
    </row>
    <row r="8" spans="2:10" x14ac:dyDescent="0.25">
      <c r="B8" s="38" t="s">
        <v>16</v>
      </c>
      <c r="C8" s="38">
        <v>1</v>
      </c>
      <c r="D8" s="40" t="s">
        <v>50</v>
      </c>
      <c r="E8" s="43">
        <v>5200</v>
      </c>
      <c r="F8" s="43">
        <v>5200</v>
      </c>
      <c r="J8" s="35"/>
    </row>
    <row r="9" spans="2:10" x14ac:dyDescent="0.25">
      <c r="B9" s="38" t="s">
        <v>19</v>
      </c>
      <c r="C9" s="46">
        <v>2032</v>
      </c>
      <c r="D9" s="40" t="s">
        <v>10</v>
      </c>
      <c r="E9" s="43">
        <v>2.2999999999999998</v>
      </c>
      <c r="F9" s="72">
        <f>C9*E9</f>
        <v>4673.5999999999995</v>
      </c>
      <c r="J9" s="35"/>
    </row>
    <row r="10" spans="2:10" x14ac:dyDescent="0.25">
      <c r="B10" s="46" t="s">
        <v>17</v>
      </c>
      <c r="C10" s="46">
        <v>128</v>
      </c>
      <c r="D10" s="40" t="s">
        <v>10</v>
      </c>
      <c r="E10" s="53">
        <v>26</v>
      </c>
      <c r="F10" s="43">
        <f>E10*C10</f>
        <v>3328</v>
      </c>
      <c r="J10" s="35"/>
    </row>
    <row r="11" spans="2:10" x14ac:dyDescent="0.25">
      <c r="B11" s="47" t="s">
        <v>18</v>
      </c>
      <c r="C11" s="47">
        <v>1055</v>
      </c>
      <c r="D11" s="42" t="s">
        <v>10</v>
      </c>
      <c r="E11" s="74">
        <v>18.329999999999998</v>
      </c>
      <c r="F11" s="45">
        <f>E11*C11</f>
        <v>19338.149999999998</v>
      </c>
      <c r="G11" s="69"/>
      <c r="H11" s="68"/>
      <c r="I11" s="70"/>
      <c r="J11" s="35"/>
    </row>
    <row r="12" spans="2:10" ht="15.75" thickBot="1" x14ac:dyDescent="0.3">
      <c r="B12" s="3"/>
      <c r="C12" s="37"/>
      <c r="D12" s="57"/>
      <c r="E12" s="58"/>
      <c r="F12" s="58"/>
    </row>
    <row r="13" spans="2:10" ht="15.75" thickBot="1" x14ac:dyDescent="0.3">
      <c r="B13" s="65" t="s">
        <v>65</v>
      </c>
      <c r="C13" s="37"/>
      <c r="D13" s="57"/>
      <c r="E13" s="58"/>
      <c r="F13" s="66">
        <f>SUM(F3:F11)</f>
        <v>90782.75</v>
      </c>
    </row>
    <row r="14" spans="2:10" x14ac:dyDescent="0.25">
      <c r="B14" s="3"/>
      <c r="C14" s="3"/>
    </row>
    <row r="15" spans="2:10" x14ac:dyDescent="0.25">
      <c r="G15" s="37"/>
      <c r="H15" s="37"/>
      <c r="I15" s="37"/>
      <c r="J15" s="3"/>
    </row>
    <row r="16" spans="2:10" ht="14.25" customHeight="1" x14ac:dyDescent="0.25">
      <c r="B16" s="48" t="s">
        <v>0</v>
      </c>
      <c r="C16" s="49" t="s">
        <v>1</v>
      </c>
      <c r="D16" s="49" t="s">
        <v>2</v>
      </c>
      <c r="E16" s="49" t="s">
        <v>3</v>
      </c>
      <c r="F16" s="49" t="s">
        <v>47</v>
      </c>
      <c r="G16" s="57"/>
      <c r="H16" s="37"/>
      <c r="I16" s="37"/>
      <c r="J16" s="7"/>
    </row>
    <row r="17" spans="2:10" x14ac:dyDescent="0.25">
      <c r="B17" s="76" t="s">
        <v>58</v>
      </c>
      <c r="C17" s="76">
        <v>2</v>
      </c>
      <c r="D17" s="101" t="s">
        <v>50</v>
      </c>
      <c r="E17" s="98">
        <v>10</v>
      </c>
      <c r="F17" s="98">
        <f>E17*C17</f>
        <v>20</v>
      </c>
      <c r="J17" s="35"/>
    </row>
    <row r="18" spans="2:10" x14ac:dyDescent="0.25">
      <c r="B18" s="75" t="s">
        <v>20</v>
      </c>
      <c r="C18" s="46">
        <v>411</v>
      </c>
      <c r="D18" s="40" t="s">
        <v>10</v>
      </c>
      <c r="E18" s="53">
        <v>10</v>
      </c>
      <c r="F18" s="43">
        <f>C18*E18</f>
        <v>4110</v>
      </c>
    </row>
    <row r="19" spans="2:10" x14ac:dyDescent="0.25">
      <c r="B19" s="76" t="s">
        <v>61</v>
      </c>
      <c r="C19" s="76">
        <v>1</v>
      </c>
      <c r="D19" s="101" t="s">
        <v>50</v>
      </c>
      <c r="E19" s="98">
        <v>10</v>
      </c>
      <c r="F19" s="98">
        <v>10</v>
      </c>
      <c r="J19" s="35"/>
    </row>
    <row r="20" spans="2:10" x14ac:dyDescent="0.25">
      <c r="B20" s="76" t="s">
        <v>62</v>
      </c>
      <c r="C20" s="76">
        <v>1</v>
      </c>
      <c r="D20" s="101" t="s">
        <v>50</v>
      </c>
      <c r="E20" s="98">
        <v>50</v>
      </c>
      <c r="F20" s="98">
        <v>50</v>
      </c>
      <c r="J20" s="35"/>
    </row>
    <row r="21" spans="2:10" x14ac:dyDescent="0.25">
      <c r="B21" s="76" t="s">
        <v>59</v>
      </c>
      <c r="C21" s="76">
        <v>1</v>
      </c>
      <c r="D21" s="101" t="s">
        <v>50</v>
      </c>
      <c r="E21" s="98">
        <v>30</v>
      </c>
      <c r="F21" s="98">
        <v>30</v>
      </c>
      <c r="J21" s="35"/>
    </row>
    <row r="22" spans="2:10" x14ac:dyDescent="0.25">
      <c r="B22" s="76" t="s">
        <v>60</v>
      </c>
      <c r="C22" s="76">
        <v>1</v>
      </c>
      <c r="D22" s="101" t="s">
        <v>50</v>
      </c>
      <c r="E22" s="98">
        <v>37</v>
      </c>
      <c r="F22" s="98">
        <v>37</v>
      </c>
      <c r="J22" s="35"/>
    </row>
    <row r="23" spans="2:10" x14ac:dyDescent="0.25">
      <c r="B23" s="76" t="s">
        <v>27</v>
      </c>
      <c r="C23" s="76">
        <v>1</v>
      </c>
      <c r="D23" s="101" t="s">
        <v>50</v>
      </c>
      <c r="E23" s="102">
        <v>40</v>
      </c>
      <c r="F23" s="98">
        <f>E23*C23</f>
        <v>40</v>
      </c>
    </row>
    <row r="24" spans="2:10" x14ac:dyDescent="0.25">
      <c r="B24" s="76" t="s">
        <v>67</v>
      </c>
      <c r="C24" s="76">
        <v>1</v>
      </c>
      <c r="D24" s="101" t="s">
        <v>50</v>
      </c>
      <c r="E24" s="102">
        <v>25</v>
      </c>
      <c r="F24" s="98">
        <f>E24*C24</f>
        <v>25</v>
      </c>
    </row>
    <row r="25" spans="2:10" x14ac:dyDescent="0.25">
      <c r="B25" s="76" t="s">
        <v>66</v>
      </c>
      <c r="C25" s="76">
        <v>1</v>
      </c>
      <c r="D25" s="101" t="s">
        <v>50</v>
      </c>
      <c r="E25" s="102">
        <v>289</v>
      </c>
      <c r="F25" s="98">
        <v>289</v>
      </c>
    </row>
    <row r="26" spans="2:10" x14ac:dyDescent="0.25">
      <c r="B26" s="39" t="s">
        <v>57</v>
      </c>
      <c r="C26" s="39">
        <v>160</v>
      </c>
      <c r="D26" s="71" t="s">
        <v>64</v>
      </c>
      <c r="E26" s="73">
        <v>12</v>
      </c>
      <c r="F26" s="45">
        <f>E26*C26*12</f>
        <v>23040</v>
      </c>
    </row>
    <row r="27" spans="2:10" x14ac:dyDescent="0.25">
      <c r="B27" s="76" t="s">
        <v>81</v>
      </c>
      <c r="C27" s="103" t="s">
        <v>50</v>
      </c>
      <c r="D27" s="101" t="s">
        <v>50</v>
      </c>
      <c r="E27" s="112" t="s">
        <v>50</v>
      </c>
      <c r="F27" s="104">
        <v>7498</v>
      </c>
      <c r="H27" s="105" t="s">
        <v>83</v>
      </c>
      <c r="I27" s="105" t="s">
        <v>86</v>
      </c>
      <c r="J27" s="105" t="s">
        <v>82</v>
      </c>
    </row>
    <row r="28" spans="2:10" x14ac:dyDescent="0.25">
      <c r="B28" s="76" t="s">
        <v>80</v>
      </c>
      <c r="C28" s="103" t="s">
        <v>50</v>
      </c>
      <c r="D28" s="101" t="s">
        <v>50</v>
      </c>
      <c r="E28" s="112" t="s">
        <v>50</v>
      </c>
      <c r="F28" s="55">
        <f>INVESTIMENTO!G18</f>
        <v>10830.186666666665</v>
      </c>
      <c r="H28" s="76" t="s">
        <v>87</v>
      </c>
      <c r="I28" s="106">
        <v>0.04</v>
      </c>
      <c r="J28" s="104">
        <f>CUSTOS!I28*RECEITA!E31</f>
        <v>5610</v>
      </c>
    </row>
    <row r="29" spans="2:10" x14ac:dyDescent="0.25">
      <c r="B29" s="76" t="s">
        <v>79</v>
      </c>
      <c r="C29" s="103" t="s">
        <v>50</v>
      </c>
      <c r="D29" s="101" t="s">
        <v>50</v>
      </c>
      <c r="E29" s="112" t="s">
        <v>50</v>
      </c>
      <c r="F29" s="55">
        <f>INVESTIMENTO!J21</f>
        <v>4647.0600000000004</v>
      </c>
      <c r="H29" s="76" t="s">
        <v>84</v>
      </c>
      <c r="I29" s="106">
        <v>0.08</v>
      </c>
      <c r="J29" s="107">
        <f>I29*F26</f>
        <v>1843.2</v>
      </c>
    </row>
    <row r="30" spans="2:10" x14ac:dyDescent="0.25">
      <c r="B30" s="76" t="s">
        <v>78</v>
      </c>
      <c r="C30" s="103" t="s">
        <v>50</v>
      </c>
      <c r="D30" s="101" t="s">
        <v>50</v>
      </c>
      <c r="E30" s="112" t="s">
        <v>50</v>
      </c>
      <c r="F30" s="55">
        <f>INVESTIMENTO!H18</f>
        <v>3875</v>
      </c>
      <c r="H30" s="76" t="s">
        <v>85</v>
      </c>
      <c r="I30" s="106">
        <v>0.01</v>
      </c>
      <c r="J30" s="104">
        <f>I30*INVESTIMENTO!C8</f>
        <v>1100</v>
      </c>
    </row>
    <row r="31" spans="2:10" x14ac:dyDescent="0.25">
      <c r="B31" s="76" t="s">
        <v>77</v>
      </c>
      <c r="C31" s="103" t="s">
        <v>50</v>
      </c>
      <c r="D31" s="101" t="s">
        <v>50</v>
      </c>
      <c r="E31" s="112" t="s">
        <v>50</v>
      </c>
      <c r="F31" s="55">
        <f>INVESTIMENTO!I21</f>
        <v>17217.056499999999</v>
      </c>
      <c r="H31" s="76" t="s">
        <v>47</v>
      </c>
      <c r="I31" s="76"/>
      <c r="J31" s="109">
        <f>SUM(J28:J30)</f>
        <v>8553.2000000000007</v>
      </c>
    </row>
    <row r="32" spans="2:10" x14ac:dyDescent="0.25">
      <c r="B32" s="37"/>
      <c r="C32" s="37"/>
      <c r="D32" s="59"/>
      <c r="E32" s="60"/>
      <c r="F32" s="100"/>
    </row>
    <row r="33" spans="2:10" ht="15.75" thickBot="1" x14ac:dyDescent="0.3">
      <c r="B33" s="3"/>
      <c r="C33" s="3"/>
      <c r="D33" s="9"/>
      <c r="E33" s="8"/>
      <c r="F33" s="6"/>
    </row>
    <row r="34" spans="2:10" ht="15.75" thickBot="1" x14ac:dyDescent="0.3">
      <c r="B34" s="50" t="s">
        <v>21</v>
      </c>
      <c r="F34" s="51">
        <f>SUM(F17:F31)</f>
        <v>71718.30316666665</v>
      </c>
    </row>
    <row r="36" spans="2:10" x14ac:dyDescent="0.25">
      <c r="B36" s="54" t="s">
        <v>52</v>
      </c>
    </row>
    <row r="37" spans="2:10" x14ac:dyDescent="0.25">
      <c r="B37" s="76" t="s">
        <v>22</v>
      </c>
      <c r="C37" s="108">
        <v>26000</v>
      </c>
      <c r="D37" s="103" t="s">
        <v>68</v>
      </c>
      <c r="E37" s="98">
        <v>0.12</v>
      </c>
      <c r="F37" s="98">
        <f>C37*E37</f>
        <v>3120</v>
      </c>
      <c r="J37" s="35"/>
    </row>
    <row r="38" spans="2:10" x14ac:dyDescent="0.25">
      <c r="B38" s="76" t="s">
        <v>23</v>
      </c>
      <c r="C38" s="76">
        <v>100</v>
      </c>
      <c r="D38" s="103" t="s">
        <v>26</v>
      </c>
      <c r="E38" s="98">
        <v>1.76</v>
      </c>
      <c r="F38" s="98">
        <f t="shared" ref="F38:F39" si="0">C38*E38</f>
        <v>176</v>
      </c>
      <c r="J38" s="35"/>
    </row>
    <row r="39" spans="2:10" x14ac:dyDescent="0.25">
      <c r="B39" s="76" t="s">
        <v>24</v>
      </c>
      <c r="C39" s="76">
        <v>4000</v>
      </c>
      <c r="D39" s="103" t="s">
        <v>68</v>
      </c>
      <c r="E39" s="98">
        <v>0.33</v>
      </c>
      <c r="F39" s="98">
        <f t="shared" si="0"/>
        <v>1320</v>
      </c>
    </row>
    <row r="40" spans="2:10" x14ac:dyDescent="0.25">
      <c r="B40" s="76" t="s">
        <v>25</v>
      </c>
      <c r="C40" s="76">
        <v>32</v>
      </c>
      <c r="D40" s="103" t="s">
        <v>26</v>
      </c>
      <c r="E40" s="98">
        <v>380</v>
      </c>
      <c r="F40" s="98">
        <f>E40*C40</f>
        <v>12160</v>
      </c>
    </row>
    <row r="41" spans="2:10" x14ac:dyDescent="0.25">
      <c r="B41" s="76" t="s">
        <v>15</v>
      </c>
      <c r="C41" s="76">
        <v>1</v>
      </c>
      <c r="D41" s="103" t="s">
        <v>50</v>
      </c>
      <c r="E41" s="98">
        <v>1000</v>
      </c>
      <c r="F41" s="98">
        <f>E41*C41</f>
        <v>1000</v>
      </c>
    </row>
    <row r="42" spans="2:10" x14ac:dyDescent="0.25">
      <c r="B42" s="76" t="s">
        <v>63</v>
      </c>
      <c r="C42" s="76">
        <v>100</v>
      </c>
      <c r="D42" s="103" t="s">
        <v>50</v>
      </c>
      <c r="E42" s="98">
        <v>0.67</v>
      </c>
      <c r="F42" s="98">
        <f>C42*E42</f>
        <v>67</v>
      </c>
    </row>
    <row r="43" spans="2:10" x14ac:dyDescent="0.25">
      <c r="B43" s="76" t="s">
        <v>7</v>
      </c>
      <c r="C43" s="76">
        <v>20</v>
      </c>
      <c r="D43" s="103" t="s">
        <v>8</v>
      </c>
      <c r="E43" s="98">
        <v>3.69</v>
      </c>
      <c r="F43" s="98">
        <f>C43*E43*12</f>
        <v>885.59999999999991</v>
      </c>
    </row>
    <row r="44" spans="2:10" x14ac:dyDescent="0.25">
      <c r="B44" s="76" t="s">
        <v>4</v>
      </c>
      <c r="C44" s="103" t="s">
        <v>50</v>
      </c>
      <c r="D44" s="103" t="s">
        <v>50</v>
      </c>
      <c r="E44" s="140" t="s">
        <v>50</v>
      </c>
      <c r="F44" s="98">
        <v>1200</v>
      </c>
    </row>
    <row r="45" spans="2:10" x14ac:dyDescent="0.25">
      <c r="B45" s="76" t="s">
        <v>5</v>
      </c>
      <c r="C45" s="76">
        <v>2000</v>
      </c>
      <c r="D45" s="101" t="s">
        <v>6</v>
      </c>
      <c r="E45" s="98">
        <v>0.24</v>
      </c>
      <c r="F45" s="98">
        <f>C45*E45*12</f>
        <v>5760</v>
      </c>
    </row>
    <row r="46" spans="2:10" x14ac:dyDescent="0.25">
      <c r="B46" s="76" t="s">
        <v>53</v>
      </c>
      <c r="C46" s="76">
        <v>109</v>
      </c>
      <c r="D46" s="103" t="s">
        <v>50</v>
      </c>
      <c r="E46" s="102">
        <v>1</v>
      </c>
      <c r="F46" s="98">
        <f>C46*E46*12</f>
        <v>1308</v>
      </c>
    </row>
    <row r="47" spans="2:10" x14ac:dyDescent="0.25">
      <c r="B47" s="3"/>
      <c r="C47" s="3"/>
      <c r="D47" s="9"/>
      <c r="E47" s="6"/>
      <c r="F47" s="6"/>
    </row>
    <row r="48" spans="2:10" ht="15.75" thickBot="1" x14ac:dyDescent="0.3">
      <c r="B48" s="3"/>
      <c r="C48" s="3"/>
      <c r="D48" s="4"/>
      <c r="E48" s="5"/>
      <c r="F48" s="6"/>
    </row>
    <row r="49" spans="1:6" ht="15.75" thickBot="1" x14ac:dyDescent="0.3">
      <c r="B49" s="52" t="s">
        <v>28</v>
      </c>
      <c r="F49" s="34">
        <f>SUM(F37:F46)</f>
        <v>26996.6</v>
      </c>
    </row>
    <row r="50" spans="1:6" ht="15.75" thickBot="1" x14ac:dyDescent="0.3">
      <c r="B50" s="7"/>
      <c r="F50" s="8"/>
    </row>
    <row r="51" spans="1:6" ht="15.75" thickBot="1" x14ac:dyDescent="0.3">
      <c r="B51" s="93" t="s">
        <v>29</v>
      </c>
      <c r="F51" s="94">
        <f>SUM(F34,F49)</f>
        <v>98714.903166666656</v>
      </c>
    </row>
    <row r="56" spans="1:6" x14ac:dyDescent="0.25">
      <c r="A56" s="67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J19" sqref="J19:J20"/>
    </sheetView>
  </sheetViews>
  <sheetFormatPr defaultRowHeight="15" x14ac:dyDescent="0.25"/>
  <cols>
    <col min="2" max="2" width="36.85546875" bestFit="1" customWidth="1"/>
    <col min="3" max="3" width="36.85546875" customWidth="1"/>
    <col min="4" max="5" width="18.28515625" customWidth="1"/>
    <col min="6" max="6" width="12" customWidth="1"/>
    <col min="7" max="7" width="14.28515625" bestFit="1" customWidth="1"/>
    <col min="8" max="8" width="14.28515625" customWidth="1"/>
    <col min="9" max="9" width="16.42578125" bestFit="1" customWidth="1"/>
    <col min="10" max="10" width="16.42578125" customWidth="1"/>
    <col min="11" max="11" width="14.28515625" bestFit="1" customWidth="1"/>
    <col min="12" max="12" width="13.28515625" bestFit="1" customWidth="1"/>
    <col min="13" max="13" width="24.7109375" style="37" bestFit="1" customWidth="1"/>
  </cols>
  <sheetData>
    <row r="2" spans="2:13" x14ac:dyDescent="0.25">
      <c r="I2" s="68"/>
    </row>
    <row r="5" spans="2:13" x14ac:dyDescent="0.25">
      <c r="B5" s="36"/>
      <c r="C5" s="36"/>
      <c r="D5" s="36"/>
      <c r="E5" s="36"/>
      <c r="F5" s="36"/>
      <c r="G5" s="36"/>
      <c r="H5" s="36"/>
    </row>
    <row r="6" spans="2:13" x14ac:dyDescent="0.25">
      <c r="B6" s="150" t="s">
        <v>43</v>
      </c>
      <c r="C6" s="81"/>
      <c r="D6" s="81"/>
      <c r="E6" s="151" t="s">
        <v>42</v>
      </c>
      <c r="F6" s="81"/>
      <c r="G6" s="152" t="s">
        <v>72</v>
      </c>
      <c r="H6" s="152" t="s">
        <v>73</v>
      </c>
      <c r="I6" s="150" t="s">
        <v>51</v>
      </c>
      <c r="J6" s="151" t="s">
        <v>56</v>
      </c>
      <c r="K6" s="158" t="s">
        <v>45</v>
      </c>
      <c r="L6" s="150" t="s">
        <v>46</v>
      </c>
      <c r="M6" s="57"/>
    </row>
    <row r="7" spans="2:13" x14ac:dyDescent="0.25">
      <c r="B7" s="151"/>
      <c r="C7" s="82" t="s">
        <v>48</v>
      </c>
      <c r="D7" s="82" t="s">
        <v>49</v>
      </c>
      <c r="E7" s="154"/>
      <c r="F7" s="95" t="s">
        <v>71</v>
      </c>
      <c r="G7" s="153"/>
      <c r="H7" s="153"/>
      <c r="I7" s="151"/>
      <c r="J7" s="157"/>
      <c r="K7" s="158"/>
      <c r="L7" s="150"/>
      <c r="M7" s="57"/>
    </row>
    <row r="8" spans="2:13" x14ac:dyDescent="0.25">
      <c r="B8" s="49" t="s">
        <v>44</v>
      </c>
      <c r="C8" s="79">
        <v>110000</v>
      </c>
      <c r="D8" s="97">
        <v>110000</v>
      </c>
      <c r="E8" s="97">
        <f>C8-D8</f>
        <v>0</v>
      </c>
      <c r="F8" s="97" t="s">
        <v>50</v>
      </c>
      <c r="G8" s="91" t="s">
        <v>50</v>
      </c>
      <c r="H8" s="91" t="s">
        <v>50</v>
      </c>
      <c r="I8" s="87">
        <v>0.7</v>
      </c>
      <c r="J8" s="87">
        <v>0.3</v>
      </c>
      <c r="K8" s="159" t="s">
        <v>88</v>
      </c>
      <c r="L8" s="149" t="s">
        <v>54</v>
      </c>
    </row>
    <row r="9" spans="2:13" x14ac:dyDescent="0.25">
      <c r="B9" s="38" t="s">
        <v>9</v>
      </c>
      <c r="C9" s="78">
        <v>44243</v>
      </c>
      <c r="D9" s="56">
        <f>C9*0.2</f>
        <v>8848.6</v>
      </c>
      <c r="E9" s="97">
        <f t="shared" ref="E9:E18" si="0">C9-D9</f>
        <v>35394.400000000001</v>
      </c>
      <c r="F9" s="99">
        <v>6</v>
      </c>
      <c r="G9" s="55">
        <f>E9/F9</f>
        <v>5899.0666666666666</v>
      </c>
      <c r="H9" s="55">
        <v>625</v>
      </c>
      <c r="I9" s="85">
        <v>0.7</v>
      </c>
      <c r="J9" s="88">
        <v>0.3</v>
      </c>
      <c r="K9" s="159"/>
      <c r="L9" s="149"/>
    </row>
    <row r="10" spans="2:13" x14ac:dyDescent="0.25">
      <c r="B10" s="38" t="s">
        <v>11</v>
      </c>
      <c r="C10" s="78">
        <v>3600</v>
      </c>
      <c r="D10" s="56">
        <f t="shared" ref="D10:D17" si="1">C10*0.2</f>
        <v>720</v>
      </c>
      <c r="E10" s="97">
        <f t="shared" si="0"/>
        <v>2880</v>
      </c>
      <c r="F10" s="99">
        <v>6</v>
      </c>
      <c r="G10" s="55">
        <f t="shared" ref="G10:G17" si="2">E10/F10</f>
        <v>480</v>
      </c>
      <c r="H10" s="55">
        <v>350</v>
      </c>
      <c r="I10" s="86">
        <v>0.7</v>
      </c>
      <c r="J10" s="89">
        <v>0.3</v>
      </c>
      <c r="K10" s="77">
        <f>I18/48</f>
        <v>2928.0708333333332</v>
      </c>
      <c r="L10" s="37"/>
      <c r="M10"/>
    </row>
    <row r="11" spans="2:13" x14ac:dyDescent="0.25">
      <c r="B11" s="38" t="s">
        <v>12</v>
      </c>
      <c r="C11" s="78">
        <v>1720</v>
      </c>
      <c r="D11" s="56">
        <f t="shared" si="1"/>
        <v>344</v>
      </c>
      <c r="E11" s="97">
        <f t="shared" si="0"/>
        <v>1376</v>
      </c>
      <c r="F11" s="99">
        <v>4</v>
      </c>
      <c r="G11" s="55">
        <f t="shared" si="2"/>
        <v>344</v>
      </c>
      <c r="H11" s="55">
        <v>300</v>
      </c>
      <c r="I11" s="86">
        <v>0.7</v>
      </c>
      <c r="J11" s="89">
        <v>0.3</v>
      </c>
      <c r="K11" s="84">
        <v>36756.432500000003</v>
      </c>
      <c r="L11" s="37"/>
      <c r="M11"/>
    </row>
    <row r="12" spans="2:13" x14ac:dyDescent="0.25">
      <c r="B12" s="38" t="s">
        <v>13</v>
      </c>
      <c r="C12" s="78">
        <v>2880</v>
      </c>
      <c r="D12" s="56">
        <f t="shared" si="1"/>
        <v>576</v>
      </c>
      <c r="E12" s="97">
        <f t="shared" si="0"/>
        <v>2304</v>
      </c>
      <c r="F12" s="99">
        <v>4</v>
      </c>
      <c r="G12" s="55">
        <f t="shared" si="2"/>
        <v>576</v>
      </c>
      <c r="H12" s="55">
        <v>300</v>
      </c>
      <c r="I12" s="85">
        <v>0.7</v>
      </c>
      <c r="J12" s="88">
        <v>0.3</v>
      </c>
    </row>
    <row r="13" spans="2:13" x14ac:dyDescent="0.25">
      <c r="B13" s="38" t="s">
        <v>14</v>
      </c>
      <c r="C13" s="78">
        <v>5800</v>
      </c>
      <c r="D13" s="56">
        <f t="shared" si="1"/>
        <v>1160</v>
      </c>
      <c r="E13" s="97">
        <f t="shared" si="0"/>
        <v>4640</v>
      </c>
      <c r="F13" s="99">
        <v>5</v>
      </c>
      <c r="G13" s="55">
        <f t="shared" si="2"/>
        <v>928</v>
      </c>
      <c r="H13" s="55">
        <v>250</v>
      </c>
      <c r="I13" s="85">
        <v>0.7</v>
      </c>
      <c r="J13" s="88">
        <v>0.3</v>
      </c>
    </row>
    <row r="14" spans="2:13" x14ac:dyDescent="0.25">
      <c r="B14" s="38" t="s">
        <v>16</v>
      </c>
      <c r="C14" s="78">
        <v>5200</v>
      </c>
      <c r="D14" s="56">
        <f t="shared" si="1"/>
        <v>1040</v>
      </c>
      <c r="E14" s="97">
        <f t="shared" si="0"/>
        <v>4160</v>
      </c>
      <c r="F14" s="99">
        <v>10</v>
      </c>
      <c r="G14" s="55">
        <f t="shared" si="2"/>
        <v>416</v>
      </c>
      <c r="H14" s="55">
        <v>250</v>
      </c>
      <c r="I14" s="85">
        <v>0.7</v>
      </c>
      <c r="J14" s="88">
        <v>0.3</v>
      </c>
    </row>
    <row r="15" spans="2:13" x14ac:dyDescent="0.25">
      <c r="B15" s="38" t="s">
        <v>19</v>
      </c>
      <c r="C15" s="68">
        <v>4673</v>
      </c>
      <c r="D15" s="56">
        <f t="shared" si="1"/>
        <v>934.6</v>
      </c>
      <c r="E15" s="97">
        <f t="shared" si="0"/>
        <v>3738.4</v>
      </c>
      <c r="F15" s="99">
        <v>10</v>
      </c>
      <c r="G15" s="55">
        <f t="shared" si="2"/>
        <v>373.84000000000003</v>
      </c>
      <c r="H15" s="55">
        <v>500</v>
      </c>
      <c r="I15" s="85">
        <v>0.7</v>
      </c>
      <c r="J15" s="88">
        <v>0.3</v>
      </c>
    </row>
    <row r="16" spans="2:13" x14ac:dyDescent="0.25">
      <c r="B16" s="38" t="s">
        <v>17</v>
      </c>
      <c r="C16" s="78">
        <v>3328</v>
      </c>
      <c r="D16" s="56">
        <f t="shared" si="1"/>
        <v>665.6</v>
      </c>
      <c r="E16" s="97">
        <f t="shared" si="0"/>
        <v>2662.4</v>
      </c>
      <c r="F16" s="99">
        <v>10</v>
      </c>
      <c r="G16" s="55">
        <f t="shared" si="2"/>
        <v>266.24</v>
      </c>
      <c r="H16" s="55">
        <v>300</v>
      </c>
      <c r="I16" s="85">
        <v>0.7</v>
      </c>
      <c r="J16" s="88">
        <v>0.3</v>
      </c>
    </row>
    <row r="17" spans="2:12" x14ac:dyDescent="0.25">
      <c r="B17" s="38" t="s">
        <v>18</v>
      </c>
      <c r="C17" s="80">
        <v>19338</v>
      </c>
      <c r="D17" s="56">
        <f t="shared" si="1"/>
        <v>3867.6000000000004</v>
      </c>
      <c r="E17" s="97">
        <f t="shared" si="0"/>
        <v>15470.4</v>
      </c>
      <c r="F17" s="99">
        <v>10</v>
      </c>
      <c r="G17" s="55">
        <f t="shared" si="2"/>
        <v>1547.04</v>
      </c>
      <c r="H17" s="55">
        <v>1000</v>
      </c>
      <c r="I17" s="83">
        <v>0.7</v>
      </c>
      <c r="J17" s="90">
        <v>0.3</v>
      </c>
    </row>
    <row r="18" spans="2:12" x14ac:dyDescent="0.25">
      <c r="B18" s="76" t="s">
        <v>47</v>
      </c>
      <c r="C18" s="92">
        <f>SUM(C8:C17)</f>
        <v>200782</v>
      </c>
      <c r="D18" s="92">
        <f>SUM(D9:D17)</f>
        <v>18156.400000000001</v>
      </c>
      <c r="E18" s="92">
        <f t="shared" si="0"/>
        <v>182625.6</v>
      </c>
      <c r="F18" s="92"/>
      <c r="G18" s="92">
        <f>SUM(G9:G17)</f>
        <v>10830.186666666665</v>
      </c>
      <c r="H18" s="92">
        <f>SUM(H9:H17)</f>
        <v>3875</v>
      </c>
      <c r="I18" s="110">
        <f>C18*0.7</f>
        <v>140547.4</v>
      </c>
      <c r="J18" s="111">
        <v>61960.800000000003</v>
      </c>
    </row>
    <row r="19" spans="2:12" x14ac:dyDescent="0.25">
      <c r="B19" s="37"/>
      <c r="C19" s="100"/>
      <c r="D19" s="100"/>
      <c r="E19" s="100"/>
      <c r="F19" s="100"/>
      <c r="G19" s="100"/>
      <c r="H19" s="100"/>
      <c r="I19" s="155" t="s">
        <v>70</v>
      </c>
      <c r="J19" s="155" t="s">
        <v>69</v>
      </c>
      <c r="K19" s="156" t="s">
        <v>47</v>
      </c>
    </row>
    <row r="20" spans="2:12" x14ac:dyDescent="0.25">
      <c r="B20" s="37"/>
      <c r="C20" s="100"/>
      <c r="D20" s="100"/>
      <c r="E20" s="100"/>
      <c r="F20" s="100"/>
      <c r="G20" s="100"/>
      <c r="H20" s="100"/>
      <c r="I20" s="155"/>
      <c r="J20" s="155"/>
      <c r="K20" s="156"/>
    </row>
    <row r="21" spans="2:12" x14ac:dyDescent="0.25">
      <c r="G21" s="96"/>
      <c r="H21" s="96"/>
      <c r="I21" s="104">
        <f>I18*0.1225</f>
        <v>17217.056499999999</v>
      </c>
      <c r="J21" s="104">
        <f>J18*0.075</f>
        <v>4647.0600000000004</v>
      </c>
      <c r="K21" s="104">
        <f>SUM(I21:J21)</f>
        <v>21864.1165</v>
      </c>
    </row>
    <row r="24" spans="2:12" x14ac:dyDescent="0.25">
      <c r="L24">
        <f>12*10</f>
        <v>120</v>
      </c>
    </row>
  </sheetData>
  <mergeCells count="13">
    <mergeCell ref="I19:I20"/>
    <mergeCell ref="J19:J20"/>
    <mergeCell ref="K19:K20"/>
    <mergeCell ref="B6:B7"/>
    <mergeCell ref="J6:J7"/>
    <mergeCell ref="K6:K7"/>
    <mergeCell ref="K8:K9"/>
    <mergeCell ref="L8:L9"/>
    <mergeCell ref="I6:I7"/>
    <mergeCell ref="L6:L7"/>
    <mergeCell ref="G6:G7"/>
    <mergeCell ref="E6:E7"/>
    <mergeCell ref="H6:H7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5" workbookViewId="0">
      <selection activeCell="D30" sqref="D30"/>
    </sheetView>
  </sheetViews>
  <sheetFormatPr defaultRowHeight="15" x14ac:dyDescent="0.25"/>
  <cols>
    <col min="1" max="1" width="28.5703125" bestFit="1" customWidth="1"/>
    <col min="2" max="2" width="51.140625" bestFit="1" customWidth="1"/>
    <col min="4" max="4" width="16.42578125" bestFit="1" customWidth="1"/>
    <col min="5" max="5" width="14.85546875" bestFit="1" customWidth="1"/>
    <col min="8" max="8" width="13.5703125" bestFit="1" customWidth="1"/>
  </cols>
  <sheetData>
    <row r="1" spans="1:8" x14ac:dyDescent="0.25">
      <c r="B1" s="10" t="s">
        <v>30</v>
      </c>
      <c r="C1" s="10"/>
      <c r="D1" s="10"/>
      <c r="E1" s="10"/>
    </row>
    <row r="2" spans="1:8" x14ac:dyDescent="0.25">
      <c r="B2" s="11" t="s">
        <v>1</v>
      </c>
      <c r="C2" s="11" t="s">
        <v>2</v>
      </c>
      <c r="D2" s="11" t="s">
        <v>31</v>
      </c>
      <c r="E2" s="11" t="s">
        <v>32</v>
      </c>
    </row>
    <row r="3" spans="1:8" x14ac:dyDescent="0.25">
      <c r="A3" s="12" t="s">
        <v>33</v>
      </c>
      <c r="B3" s="14">
        <v>26000</v>
      </c>
      <c r="C3" s="14" t="s">
        <v>26</v>
      </c>
      <c r="D3" s="15">
        <v>5</v>
      </c>
      <c r="E3" s="16">
        <f>D3*B3</f>
        <v>130000</v>
      </c>
      <c r="F3" s="13">
        <v>2019</v>
      </c>
      <c r="H3" s="14" t="s">
        <v>34</v>
      </c>
    </row>
    <row r="4" spans="1:8" x14ac:dyDescent="0.25">
      <c r="A4" s="13"/>
      <c r="B4" s="14">
        <v>26000</v>
      </c>
      <c r="C4" s="14" t="s">
        <v>26</v>
      </c>
      <c r="D4" s="15">
        <v>5</v>
      </c>
      <c r="E4" s="16">
        <f>D4*B4</f>
        <v>130000</v>
      </c>
      <c r="F4" s="13">
        <v>2020</v>
      </c>
      <c r="H4" s="17" t="s">
        <v>35</v>
      </c>
    </row>
    <row r="5" spans="1:8" x14ac:dyDescent="0.25">
      <c r="A5" s="13"/>
      <c r="B5" s="14">
        <v>26000</v>
      </c>
      <c r="C5" s="14" t="s">
        <v>26</v>
      </c>
      <c r="D5" s="15">
        <v>5</v>
      </c>
      <c r="E5" s="16">
        <f>B5*D5</f>
        <v>130000</v>
      </c>
      <c r="F5" s="13">
        <v>2021</v>
      </c>
      <c r="H5" s="18" t="s">
        <v>36</v>
      </c>
    </row>
    <row r="6" spans="1:8" x14ac:dyDescent="0.25">
      <c r="A6" s="13"/>
      <c r="B6" s="14">
        <v>26000</v>
      </c>
      <c r="C6" s="14" t="s">
        <v>26</v>
      </c>
      <c r="D6" s="15">
        <v>5</v>
      </c>
      <c r="E6" s="16">
        <f t="shared" ref="E6:E11" si="0">D6*B6</f>
        <v>130000</v>
      </c>
      <c r="F6" s="13">
        <v>2022</v>
      </c>
    </row>
    <row r="7" spans="1:8" x14ac:dyDescent="0.25">
      <c r="A7" s="13"/>
      <c r="B7" s="14">
        <v>26000</v>
      </c>
      <c r="C7" s="14" t="s">
        <v>26</v>
      </c>
      <c r="D7" s="15">
        <v>5</v>
      </c>
      <c r="E7" s="16">
        <f t="shared" si="0"/>
        <v>130000</v>
      </c>
      <c r="F7" s="13">
        <v>2023</v>
      </c>
    </row>
    <row r="8" spans="1:8" x14ac:dyDescent="0.25">
      <c r="A8" s="13"/>
      <c r="B8" s="14">
        <v>26000</v>
      </c>
      <c r="C8" s="14" t="s">
        <v>26</v>
      </c>
      <c r="D8" s="15">
        <v>5</v>
      </c>
      <c r="E8" s="19">
        <f t="shared" si="0"/>
        <v>130000</v>
      </c>
      <c r="F8" s="13">
        <v>2024</v>
      </c>
    </row>
    <row r="9" spans="1:8" x14ac:dyDescent="0.25">
      <c r="A9" s="13"/>
      <c r="B9" s="14">
        <v>26000</v>
      </c>
      <c r="C9" s="14" t="s">
        <v>26</v>
      </c>
      <c r="D9" s="15">
        <v>5</v>
      </c>
      <c r="E9" s="19">
        <f t="shared" si="0"/>
        <v>130000</v>
      </c>
      <c r="F9" s="13">
        <v>2025</v>
      </c>
    </row>
    <row r="10" spans="1:8" x14ac:dyDescent="0.25">
      <c r="A10" s="13"/>
      <c r="B10" s="14">
        <v>26000</v>
      </c>
      <c r="C10" s="14" t="s">
        <v>26</v>
      </c>
      <c r="D10" s="15">
        <v>5</v>
      </c>
      <c r="E10" s="19">
        <f t="shared" si="0"/>
        <v>130000</v>
      </c>
      <c r="F10" s="13">
        <v>2026</v>
      </c>
    </row>
    <row r="11" spans="1:8" x14ac:dyDescent="0.25">
      <c r="A11" s="13"/>
      <c r="B11" s="14">
        <v>26000</v>
      </c>
      <c r="C11" s="14" t="s">
        <v>26</v>
      </c>
      <c r="D11" s="15">
        <v>5</v>
      </c>
      <c r="E11" s="19">
        <f t="shared" si="0"/>
        <v>130000</v>
      </c>
      <c r="F11" s="13">
        <v>2027</v>
      </c>
    </row>
    <row r="12" spans="1:8" x14ac:dyDescent="0.25">
      <c r="A12" s="20" t="s">
        <v>37</v>
      </c>
      <c r="B12" s="17">
        <v>8000</v>
      </c>
      <c r="C12" s="17" t="s">
        <v>100</v>
      </c>
      <c r="D12" s="21">
        <v>1</v>
      </c>
      <c r="E12" s="114">
        <f>D12*B12</f>
        <v>8000</v>
      </c>
      <c r="F12" s="20">
        <v>2019</v>
      </c>
    </row>
    <row r="13" spans="1:8" x14ac:dyDescent="0.25">
      <c r="A13" s="20"/>
      <c r="B13" s="17">
        <v>8000</v>
      </c>
      <c r="C13" s="17" t="s">
        <v>100</v>
      </c>
      <c r="D13" s="21">
        <v>1</v>
      </c>
      <c r="E13" s="22">
        <f>D13*B13</f>
        <v>8000</v>
      </c>
      <c r="F13" s="20">
        <v>2020</v>
      </c>
    </row>
    <row r="14" spans="1:8" x14ac:dyDescent="0.25">
      <c r="A14" s="20"/>
      <c r="B14" s="17">
        <v>8000</v>
      </c>
      <c r="C14" s="17" t="s">
        <v>100</v>
      </c>
      <c r="D14" s="21">
        <v>1</v>
      </c>
      <c r="E14" s="22">
        <f>B14*D14</f>
        <v>8000</v>
      </c>
      <c r="F14" s="20">
        <v>2021</v>
      </c>
    </row>
    <row r="15" spans="1:8" x14ac:dyDescent="0.25">
      <c r="A15" s="20"/>
      <c r="B15" s="17">
        <v>8000</v>
      </c>
      <c r="C15" s="17" t="s">
        <v>100</v>
      </c>
      <c r="D15" s="21">
        <v>1</v>
      </c>
      <c r="E15" s="22">
        <f>B15*D15</f>
        <v>8000</v>
      </c>
      <c r="F15" s="20">
        <v>2022</v>
      </c>
    </row>
    <row r="16" spans="1:8" x14ac:dyDescent="0.25">
      <c r="A16" s="20"/>
      <c r="B16" s="17">
        <v>8000</v>
      </c>
      <c r="C16" s="17" t="s">
        <v>100</v>
      </c>
      <c r="D16" s="21">
        <v>1</v>
      </c>
      <c r="E16" s="22">
        <f t="shared" ref="E16:E20" si="1">B16*D16</f>
        <v>8000</v>
      </c>
      <c r="F16" s="20">
        <v>2023</v>
      </c>
    </row>
    <row r="17" spans="1:6" x14ac:dyDescent="0.25">
      <c r="A17" s="20"/>
      <c r="B17" s="17">
        <v>8000</v>
      </c>
      <c r="C17" s="17" t="s">
        <v>100</v>
      </c>
      <c r="D17" s="21">
        <v>1</v>
      </c>
      <c r="E17" s="22">
        <f t="shared" si="1"/>
        <v>8000</v>
      </c>
      <c r="F17" s="20">
        <v>2024</v>
      </c>
    </row>
    <row r="18" spans="1:6" x14ac:dyDescent="0.25">
      <c r="A18" s="20"/>
      <c r="B18" s="17">
        <v>8000</v>
      </c>
      <c r="C18" s="17" t="s">
        <v>100</v>
      </c>
      <c r="D18" s="21">
        <v>1</v>
      </c>
      <c r="E18" s="22">
        <f t="shared" si="1"/>
        <v>8000</v>
      </c>
      <c r="F18" s="20">
        <v>2025</v>
      </c>
    </row>
    <row r="19" spans="1:6" x14ac:dyDescent="0.25">
      <c r="A19" s="20"/>
      <c r="B19" s="17">
        <v>8000</v>
      </c>
      <c r="C19" s="17" t="s">
        <v>100</v>
      </c>
      <c r="D19" s="21">
        <v>1</v>
      </c>
      <c r="E19" s="22">
        <f t="shared" si="1"/>
        <v>8000</v>
      </c>
      <c r="F19" s="20">
        <v>2026</v>
      </c>
    </row>
    <row r="20" spans="1:6" x14ac:dyDescent="0.25">
      <c r="A20" s="20"/>
      <c r="B20" s="17">
        <v>8000</v>
      </c>
      <c r="C20" s="17" t="s">
        <v>100</v>
      </c>
      <c r="D20" s="21">
        <v>1</v>
      </c>
      <c r="E20" s="22">
        <f t="shared" si="1"/>
        <v>8000</v>
      </c>
      <c r="F20" s="20">
        <v>2027</v>
      </c>
    </row>
    <row r="21" spans="1:6" x14ac:dyDescent="0.25">
      <c r="A21" s="23" t="s">
        <v>38</v>
      </c>
      <c r="B21" s="18"/>
      <c r="C21" s="18">
        <v>15</v>
      </c>
      <c r="D21" s="24">
        <v>150</v>
      </c>
      <c r="E21" s="25">
        <f>D21*C21</f>
        <v>2250</v>
      </c>
      <c r="F21" s="23">
        <v>2019</v>
      </c>
    </row>
    <row r="22" spans="1:6" x14ac:dyDescent="0.25">
      <c r="A22" s="23"/>
      <c r="B22" s="18"/>
      <c r="C22" s="18">
        <v>15</v>
      </c>
      <c r="D22" s="24">
        <v>150</v>
      </c>
      <c r="E22" s="24">
        <f>D22*C22</f>
        <v>2250</v>
      </c>
      <c r="F22" s="23">
        <v>2020</v>
      </c>
    </row>
    <row r="23" spans="1:6" x14ac:dyDescent="0.25">
      <c r="A23" s="23"/>
      <c r="B23" s="18"/>
      <c r="C23" s="18">
        <v>15</v>
      </c>
      <c r="D23" s="24">
        <v>150</v>
      </c>
      <c r="E23" s="25">
        <f>D23*C23</f>
        <v>2250</v>
      </c>
      <c r="F23" s="23">
        <v>2021</v>
      </c>
    </row>
    <row r="24" spans="1:6" x14ac:dyDescent="0.25">
      <c r="A24" s="23"/>
      <c r="B24" s="18"/>
      <c r="C24" s="18">
        <v>15</v>
      </c>
      <c r="D24" s="24">
        <v>150</v>
      </c>
      <c r="E24" s="25">
        <f>D24*C24</f>
        <v>2250</v>
      </c>
      <c r="F24" s="23">
        <v>2022</v>
      </c>
    </row>
    <row r="25" spans="1:6" x14ac:dyDescent="0.25">
      <c r="A25" s="23"/>
      <c r="B25" s="18"/>
      <c r="C25" s="18">
        <v>15</v>
      </c>
      <c r="D25" s="24">
        <v>150</v>
      </c>
      <c r="E25" s="25">
        <f t="shared" ref="E25:E29" si="2">D25*C25</f>
        <v>2250</v>
      </c>
      <c r="F25" s="23">
        <v>2023</v>
      </c>
    </row>
    <row r="26" spans="1:6" x14ac:dyDescent="0.25">
      <c r="A26" s="23"/>
      <c r="B26" s="18"/>
      <c r="C26" s="18">
        <v>15</v>
      </c>
      <c r="D26" s="24">
        <v>150</v>
      </c>
      <c r="E26" s="25">
        <f t="shared" si="2"/>
        <v>2250</v>
      </c>
      <c r="F26" s="23">
        <v>2024</v>
      </c>
    </row>
    <row r="27" spans="1:6" x14ac:dyDescent="0.25">
      <c r="A27" s="23"/>
      <c r="B27" s="18"/>
      <c r="C27" s="18">
        <v>15</v>
      </c>
      <c r="D27" s="24">
        <v>150</v>
      </c>
      <c r="E27" s="25">
        <f t="shared" si="2"/>
        <v>2250</v>
      </c>
      <c r="F27" s="23">
        <v>2025</v>
      </c>
    </row>
    <row r="28" spans="1:6" x14ac:dyDescent="0.25">
      <c r="A28" s="23"/>
      <c r="B28" s="18"/>
      <c r="C28" s="18">
        <v>15</v>
      </c>
      <c r="D28" s="24">
        <v>150</v>
      </c>
      <c r="E28" s="25">
        <f t="shared" si="2"/>
        <v>2250</v>
      </c>
      <c r="F28" s="23">
        <v>2026</v>
      </c>
    </row>
    <row r="29" spans="1:6" x14ac:dyDescent="0.25">
      <c r="A29" s="23"/>
      <c r="B29" s="18"/>
      <c r="C29" s="18">
        <v>15</v>
      </c>
      <c r="D29" s="24">
        <v>150</v>
      </c>
      <c r="E29" s="25">
        <f t="shared" si="2"/>
        <v>2250</v>
      </c>
      <c r="F29" s="23">
        <v>2027</v>
      </c>
    </row>
    <row r="30" spans="1:6" x14ac:dyDescent="0.25">
      <c r="A30" s="26" t="s">
        <v>39</v>
      </c>
      <c r="B30" s="26"/>
      <c r="C30" s="26"/>
      <c r="D30" s="27"/>
      <c r="E30" s="28">
        <f t="shared" ref="E30:E38" si="3">SUM(E3+E12+E21)</f>
        <v>140250</v>
      </c>
      <c r="F30" s="26">
        <v>2019</v>
      </c>
    </row>
    <row r="31" spans="1:6" x14ac:dyDescent="0.25">
      <c r="A31" s="26"/>
      <c r="B31" s="26"/>
      <c r="C31" s="26"/>
      <c r="D31" s="26"/>
      <c r="E31" s="29">
        <f t="shared" si="3"/>
        <v>140250</v>
      </c>
      <c r="F31" s="26">
        <v>2020</v>
      </c>
    </row>
    <row r="32" spans="1:6" x14ac:dyDescent="0.25">
      <c r="A32" s="26"/>
      <c r="B32" s="26"/>
      <c r="C32" s="26"/>
      <c r="D32" s="26"/>
      <c r="E32" s="29">
        <f t="shared" si="3"/>
        <v>140250</v>
      </c>
      <c r="F32" s="26">
        <v>2021</v>
      </c>
    </row>
    <row r="33" spans="1:6" x14ac:dyDescent="0.25">
      <c r="A33" s="26"/>
      <c r="B33" s="26"/>
      <c r="C33" s="26"/>
      <c r="D33" s="26"/>
      <c r="E33" s="29">
        <f t="shared" si="3"/>
        <v>140250</v>
      </c>
      <c r="F33" s="26">
        <v>2022</v>
      </c>
    </row>
    <row r="34" spans="1:6" x14ac:dyDescent="0.25">
      <c r="A34" s="26"/>
      <c r="B34" s="26"/>
      <c r="C34" s="26"/>
      <c r="D34" s="26"/>
      <c r="E34" s="29">
        <f t="shared" si="3"/>
        <v>140250</v>
      </c>
      <c r="F34" s="26">
        <v>2023</v>
      </c>
    </row>
    <row r="35" spans="1:6" x14ac:dyDescent="0.25">
      <c r="A35" s="26"/>
      <c r="B35" s="26"/>
      <c r="C35" s="26"/>
      <c r="D35" s="26"/>
      <c r="E35" s="29">
        <f t="shared" si="3"/>
        <v>140250</v>
      </c>
      <c r="F35" s="26">
        <v>2024</v>
      </c>
    </row>
    <row r="36" spans="1:6" x14ac:dyDescent="0.25">
      <c r="A36" s="30"/>
      <c r="B36" s="30"/>
      <c r="C36" s="30"/>
      <c r="D36" s="30"/>
      <c r="E36" s="29">
        <f t="shared" si="3"/>
        <v>140250</v>
      </c>
      <c r="F36" s="26">
        <v>2025</v>
      </c>
    </row>
    <row r="37" spans="1:6" x14ac:dyDescent="0.25">
      <c r="A37" s="30"/>
      <c r="B37" s="30"/>
      <c r="C37" s="30"/>
      <c r="D37" s="30"/>
      <c r="E37" s="28">
        <f t="shared" si="3"/>
        <v>140250</v>
      </c>
      <c r="F37" s="26">
        <v>2026</v>
      </c>
    </row>
    <row r="38" spans="1:6" x14ac:dyDescent="0.25">
      <c r="A38" s="30"/>
      <c r="B38" s="30"/>
      <c r="C38" s="30"/>
      <c r="D38" s="30"/>
      <c r="E38" s="28">
        <f t="shared" si="3"/>
        <v>140250</v>
      </c>
      <c r="F38" s="26">
        <v>2027</v>
      </c>
    </row>
    <row r="39" spans="1:6" x14ac:dyDescent="0.25">
      <c r="E39" s="28"/>
      <c r="F39" s="26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3"/>
  <sheetViews>
    <sheetView tabSelected="1" zoomScale="80" zoomScaleNormal="80" workbookViewId="0">
      <selection activeCell="J2" sqref="J2"/>
    </sheetView>
  </sheetViews>
  <sheetFormatPr defaultRowHeight="15" x14ac:dyDescent="0.25"/>
  <cols>
    <col min="1" max="1" width="30" customWidth="1"/>
    <col min="2" max="2" width="18.28515625" bestFit="1" customWidth="1"/>
    <col min="3" max="11" width="19.5703125" bestFit="1" customWidth="1"/>
    <col min="12" max="12" width="17" bestFit="1" customWidth="1"/>
  </cols>
  <sheetData>
    <row r="4" spans="1:12" ht="18.75" x14ac:dyDescent="0.3">
      <c r="A4" s="121"/>
      <c r="B4" s="161" t="s">
        <v>92</v>
      </c>
      <c r="C4" s="161"/>
      <c r="D4" s="161"/>
      <c r="E4" s="161"/>
      <c r="F4" s="161"/>
      <c r="G4" s="161"/>
      <c r="H4" s="161"/>
      <c r="I4" s="161"/>
      <c r="J4" s="161"/>
      <c r="K4" s="161"/>
    </row>
    <row r="5" spans="1:12" ht="18.75" x14ac:dyDescent="0.3">
      <c r="A5" s="121"/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2" ht="18.75" x14ac:dyDescent="0.3">
      <c r="A6" s="121"/>
      <c r="B6" s="122">
        <v>0</v>
      </c>
      <c r="C6" s="122">
        <v>1</v>
      </c>
      <c r="D6" s="122">
        <v>2</v>
      </c>
      <c r="E6" s="122">
        <v>3</v>
      </c>
      <c r="F6" s="122">
        <v>4</v>
      </c>
      <c r="G6" s="122">
        <v>5</v>
      </c>
      <c r="H6" s="122">
        <v>6</v>
      </c>
      <c r="I6" s="122">
        <v>7</v>
      </c>
      <c r="J6" s="122">
        <v>8</v>
      </c>
      <c r="K6" s="122">
        <v>9</v>
      </c>
      <c r="L6" s="115" t="s">
        <v>47</v>
      </c>
    </row>
    <row r="7" spans="1:12" ht="18.75" x14ac:dyDescent="0.3">
      <c r="A7" s="121"/>
      <c r="B7" s="123">
        <v>2018</v>
      </c>
      <c r="C7" s="123">
        <v>2019</v>
      </c>
      <c r="D7" s="123">
        <v>2020</v>
      </c>
      <c r="E7" s="123">
        <v>2021</v>
      </c>
      <c r="F7" s="123">
        <v>2022</v>
      </c>
      <c r="G7" s="123">
        <v>2023</v>
      </c>
      <c r="H7" s="123">
        <v>2024</v>
      </c>
      <c r="I7" s="123">
        <v>2025</v>
      </c>
      <c r="J7" s="123">
        <v>2026</v>
      </c>
      <c r="K7" s="124">
        <v>2027</v>
      </c>
      <c r="L7" s="10"/>
    </row>
    <row r="8" spans="1:12" ht="18.75" x14ac:dyDescent="0.3">
      <c r="A8" s="125" t="s">
        <v>74</v>
      </c>
      <c r="B8" s="126">
        <f>INVESTIMENTO!J18</f>
        <v>61960.800000000003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8">
        <v>0</v>
      </c>
      <c r="L8" s="61"/>
    </row>
    <row r="9" spans="1:12" ht="18.75" x14ac:dyDescent="0.3">
      <c r="A9" s="125" t="s">
        <v>75</v>
      </c>
      <c r="B9" s="127">
        <v>0</v>
      </c>
      <c r="C9" s="129">
        <f>CUSTOS!F34</f>
        <v>71718.30316666665</v>
      </c>
      <c r="D9" s="129">
        <f>CUSTOS!F34</f>
        <v>71718.30316666665</v>
      </c>
      <c r="E9" s="129">
        <f>CUSTOS!F34</f>
        <v>71718.30316666665</v>
      </c>
      <c r="F9" s="129">
        <f>CUSTOS!F34</f>
        <v>71718.30316666665</v>
      </c>
      <c r="G9" s="129">
        <f>CUSTOS!F34</f>
        <v>71718.30316666665</v>
      </c>
      <c r="H9" s="129">
        <f>CUSTOS!F34</f>
        <v>71718.30316666665</v>
      </c>
      <c r="I9" s="129">
        <f>CUSTOS!F34</f>
        <v>71718.30316666665</v>
      </c>
      <c r="J9" s="129">
        <f>CUSTOS!F34</f>
        <v>71718.30316666665</v>
      </c>
      <c r="K9" s="130">
        <f>CUSTOS!F34</f>
        <v>71718.30316666665</v>
      </c>
      <c r="L9" s="61"/>
    </row>
    <row r="10" spans="1:12" ht="18.75" x14ac:dyDescent="0.3">
      <c r="A10" s="125" t="s">
        <v>76</v>
      </c>
      <c r="B10" s="127">
        <v>0</v>
      </c>
      <c r="C10" s="129">
        <f>CUSTOS!F49</f>
        <v>26996.6</v>
      </c>
      <c r="D10" s="129">
        <f>CUSTOS!F49</f>
        <v>26996.6</v>
      </c>
      <c r="E10" s="129">
        <f>CUSTOS!F49</f>
        <v>26996.6</v>
      </c>
      <c r="F10" s="129">
        <f>CUSTOS!F49</f>
        <v>26996.6</v>
      </c>
      <c r="G10" s="129">
        <f>CUSTOS!F49</f>
        <v>26996.6</v>
      </c>
      <c r="H10" s="129">
        <f>CUSTOS!F49</f>
        <v>26996.6</v>
      </c>
      <c r="I10" s="129">
        <f>CUSTOS!F49</f>
        <v>26996.6</v>
      </c>
      <c r="J10" s="129">
        <f>CUSTOS!F49</f>
        <v>26996.6</v>
      </c>
      <c r="K10" s="130">
        <f>CUSTOS!F49</f>
        <v>26996.6</v>
      </c>
      <c r="L10" s="61"/>
    </row>
    <row r="11" spans="1:12" ht="18.75" x14ac:dyDescent="0.3">
      <c r="A11" s="131" t="s">
        <v>40</v>
      </c>
      <c r="B11" s="132">
        <v>61960.800000000003</v>
      </c>
      <c r="C11" s="132">
        <f t="shared" ref="C11:K11" si="0">SUM(C9:C10)</f>
        <v>98714.903166666656</v>
      </c>
      <c r="D11" s="132">
        <f t="shared" si="0"/>
        <v>98714.903166666656</v>
      </c>
      <c r="E11" s="132">
        <f t="shared" si="0"/>
        <v>98714.903166666656</v>
      </c>
      <c r="F11" s="132">
        <f t="shared" si="0"/>
        <v>98714.903166666656</v>
      </c>
      <c r="G11" s="132">
        <f t="shared" si="0"/>
        <v>98714.903166666656</v>
      </c>
      <c r="H11" s="132">
        <f t="shared" si="0"/>
        <v>98714.903166666656</v>
      </c>
      <c r="I11" s="132">
        <f t="shared" si="0"/>
        <v>98714.903166666656</v>
      </c>
      <c r="J11" s="132">
        <f t="shared" si="0"/>
        <v>98714.903166666656</v>
      </c>
      <c r="K11" s="132">
        <f t="shared" si="0"/>
        <v>98714.903166666656</v>
      </c>
      <c r="L11" s="120">
        <f>SUM(B11:K11)</f>
        <v>950394.92849999981</v>
      </c>
    </row>
    <row r="12" spans="1:12" ht="18.75" x14ac:dyDescent="0.3">
      <c r="A12" s="133" t="s">
        <v>89</v>
      </c>
      <c r="B12" s="134">
        <v>0</v>
      </c>
      <c r="C12" s="134">
        <f>RECEITA!E3</f>
        <v>130000</v>
      </c>
      <c r="D12" s="134">
        <f>RECEITA!E4</f>
        <v>130000</v>
      </c>
      <c r="E12" s="134">
        <f>RECEITA!E5</f>
        <v>130000</v>
      </c>
      <c r="F12" s="134">
        <f>RECEITA!E6</f>
        <v>130000</v>
      </c>
      <c r="G12" s="134">
        <f>RECEITA!E7</f>
        <v>130000</v>
      </c>
      <c r="H12" s="134">
        <f>RECEITA!E8</f>
        <v>130000</v>
      </c>
      <c r="I12" s="134">
        <f>RECEITA!E9</f>
        <v>130000</v>
      </c>
      <c r="J12" s="134">
        <f>RECEITA!E10</f>
        <v>130000</v>
      </c>
      <c r="K12" s="134">
        <f>RECEITA!E11</f>
        <v>130000</v>
      </c>
      <c r="L12" s="31"/>
    </row>
    <row r="13" spans="1:12" ht="18.75" x14ac:dyDescent="0.3">
      <c r="A13" s="133" t="s">
        <v>90</v>
      </c>
      <c r="B13" s="134">
        <v>0</v>
      </c>
      <c r="C13" s="134">
        <f>RECEITA!E12</f>
        <v>8000</v>
      </c>
      <c r="D13" s="134">
        <f>RECEITA!E13</f>
        <v>8000</v>
      </c>
      <c r="E13" s="134">
        <f>RECEITA!E14</f>
        <v>8000</v>
      </c>
      <c r="F13" s="134">
        <f>RECEITA!E15</f>
        <v>8000</v>
      </c>
      <c r="G13" s="134">
        <f>RECEITA!E16</f>
        <v>8000</v>
      </c>
      <c r="H13" s="134">
        <f>RECEITA!E17</f>
        <v>8000</v>
      </c>
      <c r="I13" s="134">
        <f>RECEITA!E18</f>
        <v>8000</v>
      </c>
      <c r="J13" s="134">
        <f>RECEITA!E19</f>
        <v>8000</v>
      </c>
      <c r="K13" s="134">
        <f>RECEITA!E20</f>
        <v>8000</v>
      </c>
      <c r="L13" s="31"/>
    </row>
    <row r="14" spans="1:12" ht="18.75" x14ac:dyDescent="0.3">
      <c r="A14" s="133" t="s">
        <v>91</v>
      </c>
      <c r="B14" s="134">
        <v>0</v>
      </c>
      <c r="C14" s="134">
        <f>RECEITA!E21</f>
        <v>2250</v>
      </c>
      <c r="D14" s="134">
        <f>RECEITA!E22</f>
        <v>2250</v>
      </c>
      <c r="E14" s="134">
        <f>RECEITA!E23</f>
        <v>2250</v>
      </c>
      <c r="F14" s="134">
        <f>RECEITA!E24</f>
        <v>2250</v>
      </c>
      <c r="G14" s="134">
        <f>RECEITA!E25</f>
        <v>2250</v>
      </c>
      <c r="H14" s="134">
        <f>RECEITA!E26</f>
        <v>2250</v>
      </c>
      <c r="I14" s="134">
        <f>RECEITA!E27</f>
        <v>2250</v>
      </c>
      <c r="J14" s="134">
        <f>RECEITA!E28</f>
        <v>2250</v>
      </c>
      <c r="K14" s="134">
        <f>RECEITA!E29</f>
        <v>2250</v>
      </c>
      <c r="L14" s="31"/>
    </row>
    <row r="15" spans="1:12" ht="19.5" thickBot="1" x14ac:dyDescent="0.35">
      <c r="A15" s="135" t="s">
        <v>41</v>
      </c>
      <c r="B15" s="136"/>
      <c r="C15" s="137">
        <f>SUM(C12:C14)</f>
        <v>140250</v>
      </c>
      <c r="D15" s="137">
        <f t="shared" ref="D15:K15" si="1">SUM(D12:D14)</f>
        <v>140250</v>
      </c>
      <c r="E15" s="137">
        <f t="shared" si="1"/>
        <v>140250</v>
      </c>
      <c r="F15" s="137">
        <f t="shared" si="1"/>
        <v>140250</v>
      </c>
      <c r="G15" s="137">
        <f t="shared" si="1"/>
        <v>140250</v>
      </c>
      <c r="H15" s="137">
        <f t="shared" si="1"/>
        <v>140250</v>
      </c>
      <c r="I15" s="137">
        <f t="shared" si="1"/>
        <v>140250</v>
      </c>
      <c r="J15" s="137">
        <f t="shared" si="1"/>
        <v>140250</v>
      </c>
      <c r="K15" s="137">
        <f t="shared" si="1"/>
        <v>140250</v>
      </c>
      <c r="L15" s="113">
        <f>SUM(B15:K15)</f>
        <v>1262250</v>
      </c>
    </row>
    <row r="16" spans="1:12" ht="19.5" thickBot="1" x14ac:dyDescent="0.35">
      <c r="A16" s="138" t="s">
        <v>42</v>
      </c>
      <c r="B16" s="139">
        <f>B15-B11</f>
        <v>-61960.800000000003</v>
      </c>
      <c r="C16" s="139">
        <f>C15-C11</f>
        <v>41535.096833333344</v>
      </c>
      <c r="D16" s="139">
        <f>D15-D11</f>
        <v>41535.096833333344</v>
      </c>
      <c r="E16" s="139">
        <f t="shared" ref="E16:K16" si="2">E15-E11</f>
        <v>41535.096833333344</v>
      </c>
      <c r="F16" s="139">
        <f t="shared" si="2"/>
        <v>41535.096833333344</v>
      </c>
      <c r="G16" s="139">
        <f t="shared" si="2"/>
        <v>41535.096833333344</v>
      </c>
      <c r="H16" s="139">
        <f t="shared" si="2"/>
        <v>41535.096833333344</v>
      </c>
      <c r="I16" s="139">
        <f t="shared" si="2"/>
        <v>41535.096833333344</v>
      </c>
      <c r="J16" s="139">
        <f t="shared" si="2"/>
        <v>41535.096833333344</v>
      </c>
      <c r="K16" s="139">
        <f t="shared" si="2"/>
        <v>41535.096833333344</v>
      </c>
      <c r="L16" s="32"/>
    </row>
    <row r="17" spans="1:12" ht="18.75" x14ac:dyDescent="0.3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32"/>
    </row>
    <row r="18" spans="1:12" ht="18.75" x14ac:dyDescent="0.3">
      <c r="A18" s="164" t="s">
        <v>101</v>
      </c>
      <c r="B18" s="164"/>
      <c r="C18" s="146"/>
      <c r="D18" s="146"/>
      <c r="E18" s="146"/>
      <c r="F18" s="146"/>
      <c r="G18" s="146"/>
      <c r="H18" s="146"/>
      <c r="I18" s="146"/>
      <c r="J18" s="146"/>
      <c r="K18" s="146"/>
      <c r="L18" s="32"/>
    </row>
    <row r="19" spans="1:12" x14ac:dyDescent="0.25">
      <c r="A19" s="26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2" x14ac:dyDescent="0.25">
      <c r="A20" s="1" t="s">
        <v>42</v>
      </c>
      <c r="B20" s="147">
        <v>-61960.800000000003</v>
      </c>
      <c r="C20" s="147">
        <f>B20+C16</f>
        <v>-20425.703166666659</v>
      </c>
      <c r="D20" s="147">
        <f t="shared" ref="D20:K20" si="3">C20+D16</f>
        <v>21109.393666666685</v>
      </c>
      <c r="E20" s="147">
        <f t="shared" si="3"/>
        <v>62644.490500000029</v>
      </c>
      <c r="F20" s="147">
        <f t="shared" si="3"/>
        <v>104179.58733333337</v>
      </c>
      <c r="G20" s="147">
        <f t="shared" si="3"/>
        <v>145714.6841666667</v>
      </c>
      <c r="H20" s="147">
        <f t="shared" si="3"/>
        <v>187249.78100000005</v>
      </c>
      <c r="I20" s="147">
        <f t="shared" si="3"/>
        <v>228784.87783333339</v>
      </c>
      <c r="J20" s="147">
        <f t="shared" si="3"/>
        <v>270319.97466666671</v>
      </c>
      <c r="K20" s="147">
        <f t="shared" si="3"/>
        <v>311855.07150000008</v>
      </c>
    </row>
    <row r="21" spans="1:12" x14ac:dyDescent="0.25">
      <c r="A21" s="1" t="s">
        <v>98</v>
      </c>
      <c r="B21" s="148">
        <f>-PV(15%,B6,,B20,)</f>
        <v>-61960.800000000003</v>
      </c>
      <c r="C21" s="148">
        <f t="shared" ref="C21:K21" si="4">-PV(15%,C6,,C20,)</f>
        <v>-17761.481014492747</v>
      </c>
      <c r="D21" s="148">
        <f t="shared" si="4"/>
        <v>15961.734341524907</v>
      </c>
      <c r="E21" s="148">
        <f t="shared" si="4"/>
        <v>41189.769376181503</v>
      </c>
      <c r="F21" s="148">
        <f t="shared" si="4"/>
        <v>59565.017182376221</v>
      </c>
      <c r="G21" s="148">
        <f t="shared" si="4"/>
        <v>72445.950959004767</v>
      </c>
      <c r="H21" s="148">
        <f t="shared" si="4"/>
        <v>80953.247654695457</v>
      </c>
      <c r="I21" s="148">
        <f t="shared" si="4"/>
        <v>86008.709751829738</v>
      </c>
      <c r="J21" s="148">
        <f t="shared" si="4"/>
        <v>88368.07922458442</v>
      </c>
      <c r="K21" s="148">
        <f t="shared" si="4"/>
        <v>88648.674831542128</v>
      </c>
    </row>
    <row r="22" spans="1:12" x14ac:dyDescent="0.25">
      <c r="A22" s="1" t="s">
        <v>99</v>
      </c>
      <c r="B22" s="148">
        <v>-61960.800000000003</v>
      </c>
      <c r="C22" s="107">
        <f>B22+C21</f>
        <v>-79722.28101449275</v>
      </c>
      <c r="D22" s="107">
        <f t="shared" ref="D22:K22" si="5">C22+D21</f>
        <v>-63760.546672967845</v>
      </c>
      <c r="E22" s="107">
        <f t="shared" si="5"/>
        <v>-22570.777296786342</v>
      </c>
      <c r="F22" s="107">
        <f t="shared" si="5"/>
        <v>36994.239885589879</v>
      </c>
      <c r="G22" s="107">
        <f t="shared" si="5"/>
        <v>109440.19084459465</v>
      </c>
      <c r="H22" s="107">
        <f t="shared" si="5"/>
        <v>190393.43849929009</v>
      </c>
      <c r="I22" s="107">
        <f t="shared" si="5"/>
        <v>276402.14825111983</v>
      </c>
      <c r="J22" s="107">
        <f t="shared" si="5"/>
        <v>364770.22747570428</v>
      </c>
      <c r="K22" s="107">
        <f t="shared" si="5"/>
        <v>453418.9023072464</v>
      </c>
    </row>
    <row r="25" spans="1:12" x14ac:dyDescent="0.25">
      <c r="A25" s="162" t="s">
        <v>93</v>
      </c>
      <c r="B25" s="163"/>
    </row>
    <row r="26" spans="1:12" x14ac:dyDescent="0.25">
      <c r="A26" s="141" t="s">
        <v>96</v>
      </c>
      <c r="B26" s="142">
        <v>0.15</v>
      </c>
    </row>
    <row r="27" spans="1:12" x14ac:dyDescent="0.25">
      <c r="A27" s="141" t="s">
        <v>94</v>
      </c>
      <c r="B27" s="143">
        <f>B16+NPV(B26,C16:K16)</f>
        <v>136227.40015446005</v>
      </c>
      <c r="F27" s="160"/>
      <c r="G27" s="160"/>
      <c r="H27" s="160"/>
    </row>
    <row r="28" spans="1:12" x14ac:dyDescent="0.25">
      <c r="A28" s="141" t="s">
        <v>95</v>
      </c>
      <c r="B28" s="142">
        <f>IRR(B16:K16)</f>
        <v>0.66347153378791934</v>
      </c>
    </row>
    <row r="29" spans="1:12" x14ac:dyDescent="0.25">
      <c r="A29" s="141" t="s">
        <v>97</v>
      </c>
      <c r="B29" s="144">
        <f>4-F20/G20</f>
        <v>3.2850440027432377</v>
      </c>
      <c r="C29" s="116"/>
      <c r="D29" s="116"/>
      <c r="E29" s="116"/>
      <c r="F29" s="116"/>
      <c r="G29" s="116"/>
      <c r="H29" s="116"/>
      <c r="I29" s="116"/>
      <c r="J29" s="116"/>
      <c r="K29" s="117"/>
    </row>
    <row r="30" spans="1:12" x14ac:dyDescent="0.2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4">
    <mergeCell ref="F27:H27"/>
    <mergeCell ref="B4:K5"/>
    <mergeCell ref="A25:B25"/>
    <mergeCell ref="A18:B1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CUSTOS</vt:lpstr>
      <vt:lpstr>INVESTIMENTO</vt:lpstr>
      <vt:lpstr>RECEITA</vt:lpstr>
      <vt:lpstr>FLUXO DE CAIXA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Giuliana Ribeiro</dc:creator>
  <cp:lastModifiedBy>Giuliana Ribeiro</cp:lastModifiedBy>
  <dcterms:created xsi:type="dcterms:W3CDTF">2017-05-27T00:24:49Z</dcterms:created>
  <dcterms:modified xsi:type="dcterms:W3CDTF">2017-06-16T23:22:07Z</dcterms:modified>
</cp:coreProperties>
</file>